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floalt\Desktop\"/>
    </mc:Choice>
  </mc:AlternateContent>
  <bookViews>
    <workbookView xWindow="0" yWindow="0" windowWidth="23040" windowHeight="8616"/>
  </bookViews>
  <sheets>
    <sheet name="KRCFUS1005171 (002)" sheetId="1" r:id="rId1"/>
  </sheets>
  <calcPr calcId="0"/>
</workbook>
</file>

<file path=xl/calcChain.xml><?xml version="1.0" encoding="utf-8"?>
<calcChain xmlns="http://schemas.openxmlformats.org/spreadsheetml/2006/main">
  <c r="D2" i="1" l="1"/>
  <c r="E2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</calcChain>
</file>

<file path=xl/sharedStrings.xml><?xml version="1.0" encoding="utf-8"?>
<sst xmlns="http://schemas.openxmlformats.org/spreadsheetml/2006/main" count="6918" uniqueCount="1268">
  <si>
    <t>Price Table</t>
  </si>
  <si>
    <t>List - Id</t>
  </si>
  <si>
    <t>List - Name</t>
  </si>
  <si>
    <t>P-Code</t>
  </si>
  <si>
    <t>UPC-Code</t>
  </si>
  <si>
    <t>Universal Number</t>
  </si>
  <si>
    <t>Prod-Desc</t>
  </si>
  <si>
    <t>List Price</t>
  </si>
  <si>
    <t>/Per</t>
  </si>
  <si>
    <t>Eff-Date</t>
  </si>
  <si>
    <t>Unit Wght Kgs</t>
  </si>
  <si>
    <t>Unit Wght Lbs</t>
  </si>
  <si>
    <t>Carton Qty</t>
  </si>
  <si>
    <t>Price Class</t>
  </si>
  <si>
    <t>03*REGION-51</t>
  </si>
  <si>
    <t>KRCFUS1005171</t>
  </si>
  <si>
    <t>Kraloy Price Book Update - October 5, 2017</t>
  </si>
  <si>
    <t>CP05 1/2" PVC COUPLING KRALOY</t>
  </si>
  <si>
    <t>/100</t>
  </si>
  <si>
    <t>078AA</t>
  </si>
  <si>
    <t>CP07 3/4" PVC COUPLING KRALOY</t>
  </si>
  <si>
    <t>CP10 1" PVC COUPLING KRALOY</t>
  </si>
  <si>
    <t>CP12 1 1/4" PVC COUPLING KRALOY</t>
  </si>
  <si>
    <t>CP15 1 1/2" PVC COUPLING KRALOY</t>
  </si>
  <si>
    <t>CP20 2" PVC COUPLING KRALOY</t>
  </si>
  <si>
    <t>CP25 2 1/2" PVC COUPLING KRALOY</t>
  </si>
  <si>
    <t>078AB</t>
  </si>
  <si>
    <t>CP30 3" PVC COUPLING KRALOY</t>
  </si>
  <si>
    <t>CP35 3 1/2" PVC COUPLING KRALOY</t>
  </si>
  <si>
    <t>CP40 4" PVC COUPLING KRALOY</t>
  </si>
  <si>
    <t>CP50 5" PVC COUPLING KRALOY</t>
  </si>
  <si>
    <t>CP60 6" PVC COUPLING KRALOY</t>
  </si>
  <si>
    <t>CP80 8" PVC COUPLING KRALOY</t>
  </si>
  <si>
    <t>TA05 1/2" PVC TERMINAL ADPT KRALOY</t>
  </si>
  <si>
    <t>078AC</t>
  </si>
  <si>
    <t>TA07 3/4" PVC TERMINAL ADPT KRALOY</t>
  </si>
  <si>
    <t>TA10 1" PVC TERMINAL ADPTKRALOY</t>
  </si>
  <si>
    <t>TA12 1 1/4" PVC TERMINAL ADPT KRALOY</t>
  </si>
  <si>
    <t>TA15 1 1/2" PVC TERMINAL ADPT KRALOY</t>
  </si>
  <si>
    <t>TA20 2" PVC TERMINAL ADPTKRALOY</t>
  </si>
  <si>
    <t>TA25 2 1/2" PVC TERMINAL ADPT KRALOY</t>
  </si>
  <si>
    <t>078AD</t>
  </si>
  <si>
    <t>TA30 3" PVC TERMINAL ADPTKRALOY</t>
  </si>
  <si>
    <t>TA35 3 1/2" PVC TERMINAL ADPT KRALOY</t>
  </si>
  <si>
    <t>TA40 4" PVC TERMINAL ADPTKRALOY</t>
  </si>
  <si>
    <t>TA50 5" PVC TERMINAL ADPTKRALOY</t>
  </si>
  <si>
    <t>TA60 6" PVC TERMINAL ADPTKRALOY</t>
  </si>
  <si>
    <t>8" PVC TERMINAL ADPT KRALOY</t>
  </si>
  <si>
    <t>FA05 1/2" PVC FEMALE ADPTKRALOY</t>
  </si>
  <si>
    <t>078AE</t>
  </si>
  <si>
    <t>FA07 3/4" PVC FEMALE ADPTKRALOY</t>
  </si>
  <si>
    <t>FA10 1" PVC FEMALE ADPT KRALOY</t>
  </si>
  <si>
    <t>FA12 1 1/4" PVC FEMALE ADPT KRALOY</t>
  </si>
  <si>
    <t>FA15 1 1/2" PVC FEMALE ADPT KRALOY</t>
  </si>
  <si>
    <t>FA20 2" PVC FEMALE ADPT KRALOY</t>
  </si>
  <si>
    <t>FA25 2 1/2" PVC FEMALE ADPT KRALOY</t>
  </si>
  <si>
    <t>078AF</t>
  </si>
  <si>
    <t>FA30 3" PVC FEMALE ADPT KRALOY</t>
  </si>
  <si>
    <t>FA35 3 1/2" PVC FEMALE ADPT KRALOY</t>
  </si>
  <si>
    <t>FA40 4" PVC FEMALE ADPT KRALOY</t>
  </si>
  <si>
    <t>FA50 5" PVC FEMALE ADPT KRALOY</t>
  </si>
  <si>
    <t>FA60 6" PVC FEMALE ADPT KRALOY</t>
  </si>
  <si>
    <t>8" PVC FEMALE ADPT KRALOY</t>
  </si>
  <si>
    <t>40STD0590 1/2"x90D PVC STD ELBOW SPxSP SCH40 KRALOY</t>
  </si>
  <si>
    <t>078AG</t>
  </si>
  <si>
    <t>40STD0790 3/4"x90D PVC STD ELBOW SPxSP SCH40 KRALOY</t>
  </si>
  <si>
    <t>40STD1090 1"x90D PVC STD ELBOW SPxSP SCH40 KRALOY</t>
  </si>
  <si>
    <t>40STD1290 1 1/4"x90D PVC STD ELBOW SPxSP SCH40 KRALOY</t>
  </si>
  <si>
    <t>40STD1590 1 1/2"x90D PVC STD ELBOW SPxSP SCH40 KRALOY</t>
  </si>
  <si>
    <t>40STD2090 2"x90D PVC STD ELBOW SPxSP SCH40 KRALOY</t>
  </si>
  <si>
    <t>40STD2590 2 1/2"x90D PVC STD ELBOW SPxSP SCH40 KRALOY</t>
  </si>
  <si>
    <t>078AH</t>
  </si>
  <si>
    <t>40STD3090 3"x90D PVC STD ELBOW SPxSP SCH40 KRALOY</t>
  </si>
  <si>
    <t>40STD3590 3 1/2"x90D PVC STD ELBOW SPxSP SCH40 KRALOY</t>
  </si>
  <si>
    <t>40STD4090 4"x90D PVC STD ELBOW SPxSP SCH40 KRALOY</t>
  </si>
  <si>
    <t>40STD5090 5"x90D PVC STD ELBOW SPxSP SCH40 KRALOY</t>
  </si>
  <si>
    <t>40STD6090 6"x90D PVC STD ELBOW SPxSP SCH40 KRALOY</t>
  </si>
  <si>
    <t>40STD0545 1/2"x45D PVC STD ELBOW SPxSP SCH40 KRALOY</t>
  </si>
  <si>
    <t>078AO</t>
  </si>
  <si>
    <t>40STD0745 3/4"x45D PVC STD ELBOW SPxSP SCH40 KRALOY</t>
  </si>
  <si>
    <t>40STD1045 1"x45D PVC STD ELBOW SPxSP SCH40 KRALOY</t>
  </si>
  <si>
    <t>40STD1245 1 1/4"x45D PVC STD ELBOW SPxSP SCH40 KRALOY</t>
  </si>
  <si>
    <t>40STD1545 1 1/2"x45D PVC STD ELBOW SPxSP SCH40 KRALOY</t>
  </si>
  <si>
    <t>40STD2045 2"x45D PVC STD ELBOW SPxSP SCH40 KRALOY</t>
  </si>
  <si>
    <t>40STD2545 2 1/2"x45D PVC STD ELBOW SPxSP SCH40 KRALOY</t>
  </si>
  <si>
    <t>078AQ</t>
  </si>
  <si>
    <t>40STD3045 3"x45D PVC STD ELBOW SPxSP SCH40 KRALOY</t>
  </si>
  <si>
    <t>40STD3545 3 1/2"x45D PVC STD ELBOW SPxSP SCH40 KRALOY</t>
  </si>
  <si>
    <t>40STD4045 4"x45D PVC STD ELBOW SPxSP SCH40 KRALOY</t>
  </si>
  <si>
    <t>40STD5045 5"x45D PVC STD ELBOW SPxSP SCH40 KRALOY</t>
  </si>
  <si>
    <t>40STD6045 6"x45D PVC STD ELBOW SPxSP SCH40 KRALOY</t>
  </si>
  <si>
    <t>40STD0530 1/2"x30D PVC STD ELBOW SPxSP SCH40 KRALOY</t>
  </si>
  <si>
    <t>078AR</t>
  </si>
  <si>
    <t>40STD0730 3/4"x30D PVC STD ELBOW SPxSP SCH40 KRALOY</t>
  </si>
  <si>
    <t>1"x30D PVC STD ELBOW SPxSP SCH40 SCEPTER/KRALOY</t>
  </si>
  <si>
    <t>40STD1230 1 1/4"x30D PVC STD ELBOW SPxSP SCH40 KRALOY</t>
  </si>
  <si>
    <t>40STD1530 1 1/2"x30D PVC STD ELBOW SPxSP SCH40 KRALOY</t>
  </si>
  <si>
    <t>40STD2030 2"x30D PVC STD ELBOW SPxSP SCH40 KRALOY</t>
  </si>
  <si>
    <t>40STD2530 2 1/2"x30D PVC STD ELBOW SPxSP SCH40 KRALOY</t>
  </si>
  <si>
    <t>40STD3030 3"x30D PVC STD ELBOW SPxSP SCH40 KRALOY</t>
  </si>
  <si>
    <t>40STD3530 3 1/2"x30D PVC STD ELBOW SPxSP SCH40 KRALOY</t>
  </si>
  <si>
    <t>40STD4030 4"x30D PVC STD ELBOW SPxSP SCH40 KRALOY</t>
  </si>
  <si>
    <t>40STD5030 5"x30D PVC STD ELBOW SPxSP SCH40 KRALOY</t>
  </si>
  <si>
    <t>40STD6030 6"x30D PVC STD ELBOW SPxSP SCH40 KRALOY</t>
  </si>
  <si>
    <t>40STD1522 1 1/2"x22 1/2D PVC STD ELBOW SPxSP SCH40SCEPTER/KRALOY</t>
  </si>
  <si>
    <t>078AV</t>
  </si>
  <si>
    <t>40STD2022 2"x22 1/2D PVC STD ELBOW SPxSP SCH40 SCEPTER/KRALOY</t>
  </si>
  <si>
    <t>40STD2522 2 1/2"x22 1/2D PVC STD ELBOW SPxSP SCH40SCEPTER/KRALOY</t>
  </si>
  <si>
    <t>40STD3022 3"x22 1/2D PVC STD ELBOW SPxSP SCH40 SCEPTER/KRALOY</t>
  </si>
  <si>
    <t>40STD3522 3 1/2"x22 1/2D PVC STD ELBOW SPxSP SCH40SCEPTER/KRALOY</t>
  </si>
  <si>
    <t>40STD4022 4"x22 1/2D PVC STD ELBOW SPxSP SCH40 SCEPTER/KRALOY</t>
  </si>
  <si>
    <t>40STD5022 5"x22 1/2D PVC STD ELBOW SPxSP SCH40 SCEPTER/KRALOY</t>
  </si>
  <si>
    <t>40STD6022 6"x22 1/2D PVC STD ELBOW SPxSP SCH40 SCEPTER/KRALOY</t>
  </si>
  <si>
    <t>B40STD0590 1/2"x90D PVC STD ELBOW SPxBE SCH40 KRALOY</t>
  </si>
  <si>
    <t>078AW</t>
  </si>
  <si>
    <t>B40STD0790 3/4"x90D PVC STD ELBOW SPxBE SCH40 KRALOY</t>
  </si>
  <si>
    <t>B40STD1090 1"x90D PVC STDELBOW SPxBE SCH40 KRALOY</t>
  </si>
  <si>
    <t>B40STD1290 1 1/4"x90D PVCSTD ELBOW SPxBE SCH40 KRALOY</t>
  </si>
  <si>
    <t>B40STD1590 1 1/2"x90D PVCSTD ELBOW SPxBE SCH40 KRALOY</t>
  </si>
  <si>
    <t>B40STD2090 2"x90D PVC STDELBOW SPxBE SCH40 KRALOY</t>
  </si>
  <si>
    <t>B40STD2590 2 1/2"x90D PVCSTD ELBOW SPxBE SCH40 KRALOY</t>
  </si>
  <si>
    <t>078AY</t>
  </si>
  <si>
    <t>B40STD3090 3"x90D PVC STDELBOW SPxBE SCH40 KRALOY</t>
  </si>
  <si>
    <t>B40STD3590 3 1/2"x90D PVCSTD ELBOW SPxBE SCH40 KRALOY</t>
  </si>
  <si>
    <t>B40STD4090 4"x90D PVC STDELBOW SPxBE SCH40 KRALOY</t>
  </si>
  <si>
    <t>5"x90D PVC STD ELBOW SPxBE SCH40 SCEPTER/KRALOY</t>
  </si>
  <si>
    <t>B40STD6090 6"x90D PVC STDELBOW SPxBE SCH40 KRALOY</t>
  </si>
  <si>
    <t>B40STD0545 1/2"x45D PVC STD ELBOW SPxBE SCH40 KRALOY</t>
  </si>
  <si>
    <t>B40STD0745 3/4"x45D PVC STD ELBOW SPxBE SCH40 KRALOY</t>
  </si>
  <si>
    <t>B40STD1045 1"x45D PVC STDELBOW SPxBE SCH40 KRALOY</t>
  </si>
  <si>
    <t>B40STD1245 1 1/4"x45D PVCSTD ELBOW SPxBE SCH40 KRALOY</t>
  </si>
  <si>
    <t>B40STD1545 1 1/2"x45D PVCSTD ELBOW SPxBE SCH40 KRALOY</t>
  </si>
  <si>
    <t>B40STD2045 2"x45D PVC STDELBOW SPxBE SCH40 KRALOY</t>
  </si>
  <si>
    <t>B40STD2545 2 1/2"x45D PVCSTD ELBOW SPxBE SCH40 KRALOY</t>
  </si>
  <si>
    <t>B40STD3045 3"x45D PVC STDELBOW SPxBE SCH40 KRALOY</t>
  </si>
  <si>
    <t>B40STD3545 3 1/2"x45D PVCSTD ELBOW SPxBE SCH40 KRALOY</t>
  </si>
  <si>
    <t>B40STD4045 4"x45D PVC STDELBOW SPxBE SCH40 KRALOY</t>
  </si>
  <si>
    <t>B40STD5045 5"x45D PVC STDELBOW SPxBE SCH40 KRALOY</t>
  </si>
  <si>
    <t>6"x45D PVC STD ELBOW BxSPSCH40 UL SCEPTER/KRALOY</t>
  </si>
  <si>
    <t>80STD0590 1/2"x90D PVC STD ELBOW SPxSP SCH80 KRALOY</t>
  </si>
  <si>
    <t>078AI</t>
  </si>
  <si>
    <t>80STD0790 3/4"x90D PVC STD ELBOW SPxSP SCH80 KRALOY</t>
  </si>
  <si>
    <t>80STD1090 1"x90D PVC STD ELBOW SPxSP SCH80 KRALOY</t>
  </si>
  <si>
    <t>80STD1290 1 1/4"x90D PVC STD ELBOW SPxSP SCH80 KRALOY</t>
  </si>
  <si>
    <t>80STD1590 1 1/2"x90D PVC STD ELBOW SPxSP SCH80 KRALOY</t>
  </si>
  <si>
    <t>80STD2090 2"x90D PVC STD ELBOW SPxSP SCH80 KRALOY</t>
  </si>
  <si>
    <t>80STD2590 2 1/2"x90D PVC STD ELBOW SPxSP SCH80 KRALOY</t>
  </si>
  <si>
    <t>80STD3090 3"x90D PVC STD ELBOW SPxSP SCH80 KRALOY</t>
  </si>
  <si>
    <t>80STD4090 4"x90D PVC STD ELBOW SPxSP SCH80 KRALOY</t>
  </si>
  <si>
    <t>80STD5090 5"x90D PVC STD ELBOW SPxSP SCH80 KRALOY</t>
  </si>
  <si>
    <t>80STD6090 6"x90D PVC STD ELBOW SPxSP SCH80 KRALOY</t>
  </si>
  <si>
    <t>80STD0545 1/2"x45D PVC STD ELBOW SPxSP SCH80 KRALOY</t>
  </si>
  <si>
    <t>80STD0745 3/4"x45D PVC STD ELBOW SPxSP SCH80 KRALOY</t>
  </si>
  <si>
    <t>80STD1045 1"x45D PVC STD ELBOW SPxSP SCH80 KRALOY</t>
  </si>
  <si>
    <t>80STD1245 1 1/4"x45D PVC STD ELBOW SPxSP SCH80 KRALOY</t>
  </si>
  <si>
    <t>80STD1545 1 1/2"x45D PVC STD ELBOW SPxSP SCH80 KRALOY</t>
  </si>
  <si>
    <t>80STD2045 2"x45D PVC STD ELBOW SPxSP SCH80 KRALOY</t>
  </si>
  <si>
    <t>80STD2545 2 1/2"x45D PVC STD ELBOW SPxSP SCH80 KRALOY</t>
  </si>
  <si>
    <t>80STD3045 3"x45D PVC STD ELBOW SPxSP SCH80 KRALOY</t>
  </si>
  <si>
    <t>80STD4045 4"x45D PVC STD ELBOW SPxSP SCH80 KRALOY</t>
  </si>
  <si>
    <t>80STD5045 5"x45D PVC STD ELBOW SPxSP SCH80 KRALOY</t>
  </si>
  <si>
    <t>80STD6045 6"x45D PVC STD ELBOW SPxSP SCH80 KRALOY</t>
  </si>
  <si>
    <t>80STD0530 1/2"x30D PVC STD ELBOW SPxSP SCH80 SCEPTER/KRALOY</t>
  </si>
  <si>
    <t>80STD0730 3/4"x30D PVC STD ELBOW SPxSP SCH80</t>
  </si>
  <si>
    <t>80STD1030 1"x30D PVC STD ELBOW SPxSP SCH80 KRALOY</t>
  </si>
  <si>
    <t>80STD1230 1 1/4"x30D PVC STD ELBOW SPxSP SCH80 KRALOY</t>
  </si>
  <si>
    <t>80STD1530 1 1/2"x30D PVC STD ELBOW SPxSP SCH80 KRALOY</t>
  </si>
  <si>
    <t>80STD2030 2"x30D PVC STD ELBOW SPxSP SCH80 KRALOY</t>
  </si>
  <si>
    <t>80STD2530 2 1/2"x30D PVC STD ELBOW SPxSP SCH80 KRALOY</t>
  </si>
  <si>
    <t>80STD3030 3"x30D PVC STD ELBOW SPxSP SCH80 KRALOY</t>
  </si>
  <si>
    <t>80STD4030 4"x30D PVC STD ELBOW SPxSP SCH80 KRALOY</t>
  </si>
  <si>
    <t>80STD5030 5"x30D PVC STD ELBOW SPxSP SCH80 KRALOY</t>
  </si>
  <si>
    <t>6"x30D PVC STD ELBOW SPxSP SCH80 SCEPTER/KRALOY</t>
  </si>
  <si>
    <t>5EC20BS 2"x5D PVC COUPLING BxSP KRALOY</t>
  </si>
  <si>
    <t>078AJ</t>
  </si>
  <si>
    <t>5EC30BS 3"x5D PVC COUPLING BxSP KRALOY</t>
  </si>
  <si>
    <t>5EC40BS 4"x5D PVC COUPLING BxSP KRALOY</t>
  </si>
  <si>
    <t>5EC60BS 6"x5D PVC COUPLING BxSP KRALOY</t>
  </si>
  <si>
    <t>5EC20 2"x5D PVC COUPLING BxB KRALOY</t>
  </si>
  <si>
    <t>5EC30 3"x5D PVC COUPLING BxB KRALOY</t>
  </si>
  <si>
    <t>5EC40 4"x5D PVC COUPLING BxB KRALOY</t>
  </si>
  <si>
    <t>5EC50 5"x5D PVC COUPLING BxB KRALOY</t>
  </si>
  <si>
    <t>5EC65 6"x5D PVC COUPLING BxB SCEPTER/KRALOY</t>
  </si>
  <si>
    <t>LLC20 2" PVC LONG LINE CPLG KRALOY</t>
  </si>
  <si>
    <t>078AK</t>
  </si>
  <si>
    <t>LLC25 2 1/2" PVC LONG LINE CPLG KRALOY</t>
  </si>
  <si>
    <t>LLC30 3" PVC LONG LINE CPLG KRALOY</t>
  </si>
  <si>
    <t>LLC40 4" PVC LONG LINE CPLG KRALOY</t>
  </si>
  <si>
    <t>LLC50 5" PVC LONG LINE CPLG KRALOY</t>
  </si>
  <si>
    <t>LLC60 6" PVC LONG LINE CPLG KRALOY</t>
  </si>
  <si>
    <t>REC30 1 1/2" PVC REPAIR CPLG SCEPTER/KRALOY</t>
  </si>
  <si>
    <t>078AL</t>
  </si>
  <si>
    <t>REC20 2" PVC REPAIR CPLG SLEEVE KRALOY</t>
  </si>
  <si>
    <t>REC25 2 1/2" PVC REPAIR CPLG SLEEVE KRALOY</t>
  </si>
  <si>
    <t>REC30 3" PVC REPAIR CPLG SLEEVE KRALOY</t>
  </si>
  <si>
    <t>REC40 4" PVC REPAIR CPLG SLEEVE KRALOY</t>
  </si>
  <si>
    <t>REC60 5" PVC REPAIR CPLG SLEEVE SCEPTER/KRALOY</t>
  </si>
  <si>
    <t>REC65 6" PVC REPAIR CPLG SLEEVE SCEPTER/KRALOY</t>
  </si>
  <si>
    <t>15W LED RETROFIT KIT FROSTED WHITE SCEPTALIGHT</t>
  </si>
  <si>
    <t>077D</t>
  </si>
  <si>
    <t>LVPE-LED CEIL. MT. 15W LED FIXTURE FROSTED WHITEUTILITY SCEPTALIGHT</t>
  </si>
  <si>
    <t>LVPF-LED CEIL. MT. 15W LED FIXTURE FROSTED WHITESCEPTALIGHT</t>
  </si>
  <si>
    <t>LVPF150C CEIL. MT. 150W PVC INC. FIXT. CLEAR STD GG SCEPTALIGHT</t>
  </si>
  <si>
    <t>077FS</t>
  </si>
  <si>
    <t>LVPF150LG CEIL. MT. 150W PVC LT/FIX CLEAR LESS GUARD SCEPTALIGHT</t>
  </si>
  <si>
    <t>LVPL7C CEIL. MT. 7W PVC CF FIXT. CLEAR STD GG SCEPTALIGHT</t>
  </si>
  <si>
    <t>LVPL13C CEIL. MT. 13W PVCCF FIXT. CLEAR STD GG SCEPTALIGHT</t>
  </si>
  <si>
    <t>LVPL18C CEIL. MT. 18W PVCCF FIXT. CLEAR STD GG SCEPTALIGHT</t>
  </si>
  <si>
    <t>LVPL26C CEIL. MT. 26W PVCCF FIXT. CLEAR STD GG SCEPTALIGHT</t>
  </si>
  <si>
    <t>LVPL7PCC CEIL. MT. 7W PVCCF FIXT. CLEAR PG SCEPTALIGHT</t>
  </si>
  <si>
    <t>LVPL9PCC CEIL. MT. 9W PVCCF FIXT. CLEAR PG SCEPTALIGHT</t>
  </si>
  <si>
    <t>LVPL13PCC CEIL. MT. 13W PVC CF FIXT. CLEAR PG SCEPTALIGHT</t>
  </si>
  <si>
    <t>LVPL18PCC CEIL. MT. 18W PVC CF FIXT. CLEAR PG SCEPTALIGHT</t>
  </si>
  <si>
    <t>LVPL26PCC CEIL. MT. 26W PVC CF FIXT. CLEAR PG SCEPTALIGHT</t>
  </si>
  <si>
    <t>LPMF150C PEND. MOUNT 150WPVC INC. FIXT. CLEAR STD GG SCEPTALIGHT</t>
  </si>
  <si>
    <t>LPPL13C PEND. MOUNT 13W PVC CF FIXT. CLEAR STD GGSCEPTALIGHT</t>
  </si>
  <si>
    <t>LPPL18C PEND. MOUNT 18W PVC CF FIXT. CLEAR STD GGSCEPTALIGHT</t>
  </si>
  <si>
    <t>LPPL26C PEND. MOUNT 26W PVC CF FIXT. CLEAR STD GGSCEPTALIGHT</t>
  </si>
  <si>
    <t>LPPL7PCC PEND. MOUNT 7W PVC CF FIXT. CLEAR PG SCEPTALIGHT</t>
  </si>
  <si>
    <t>LPPL9PCC PEND. MOUNT 9W PVC CF FIXT. CLEAR PG SCEPTALIGHT</t>
  </si>
  <si>
    <t>LPPL26PCC PEND. MOUNT 26WPVC CF FIXT. CLEAR PG SCEPTALIGHT</t>
  </si>
  <si>
    <t>LWB150 PVC 90D WALL MOUNTBRACKET SCEPTALIGHT</t>
  </si>
  <si>
    <t>077FT</t>
  </si>
  <si>
    <t>CEIL. MT. 150W PVC UT. LIGHT CLEAR STD GG 1/2-3/4" HUB KRALOY</t>
  </si>
  <si>
    <t>078CM</t>
  </si>
  <si>
    <t>LVPE150-PCC CEIL. MT. 150W PVC UT. LIGHT CLEAR PG 1/2-3/4" HUB KRALOY</t>
  </si>
  <si>
    <t>LVPE150C CEIL. MT. 150W PVC UT. LIGHT STD GG W/ GUARD KRALOY</t>
  </si>
  <si>
    <t>CEIL. MT. 150W PVC UT. LIGHT CLEAR HR GG 1/2-3/4" HUB KRALOY</t>
  </si>
  <si>
    <t>LVPE150HRR CEIL. MT. 150WPVC UT. LIGHT RED HR GG WET KRALOY</t>
  </si>
  <si>
    <t>LVPE150HRB CEIL. MT. 150WPVC UT. LIGHT BLUE HR GG WET KRALOY</t>
  </si>
  <si>
    <t>LVPEHRG150 CEIL. MT. 150WPVC UT. LIGHT GREEN HR GGWET KRALOY</t>
  </si>
  <si>
    <t>LVPE150HRA CEIL. MT. 150WPVC UT. LIGHT AMBER HR GGWET KRALOY</t>
  </si>
  <si>
    <t>LVPUG150 NM CLAMP-ON GUARD SCEPTALIGHT</t>
  </si>
  <si>
    <t>LVPF100C-MAR CEIL. MT. 100W PVC CLEAR STD GG MARINE KRALOY</t>
  </si>
  <si>
    <t>LPMF100C-MAR PEND. MOUNT 100W PVC INC. FIXT. CLEARSTD GG SCEPTALIGHT</t>
  </si>
  <si>
    <t>LVPF150HRC-HAZ CEIL. MT. 150W PVC INC. FIXT. CLEARHR GG HAZ SCEPTALIGHT</t>
  </si>
  <si>
    <t>077FR</t>
  </si>
  <si>
    <t>LVPF150HRR-HAZ CEIL. MT. 150W PVC INC. FIXT. RED HR GG HAZ SCEPTALIGHT</t>
  </si>
  <si>
    <t>LVPF150HRB-HAZ CEIL. MT. 150W PVC INC. FIXT. BLUE HR GG HAZ SCEPTALIGHT</t>
  </si>
  <si>
    <t>LVPF150HRG-HAZ CEIL. MT. 150W PVC INC. FIXT. GREENHR GG HAZ SCEPTALIGHT</t>
  </si>
  <si>
    <t>LVPF150HRA-HAZ CEIL. MT. 150W PVC INC. FIXT. AMBERHR GG HAZ SCEPTALIGHT</t>
  </si>
  <si>
    <t>LVPL18HRC-HAZ CEIL. MT. 18W PVC CF FIXT. CLEAR HRGG HAZ SCEPTALIGHT</t>
  </si>
  <si>
    <t>LVPL18HRR-HAZ CEIL. MT. 18W PVC CF FIXT. RED HR GG HAZ SCEPTALIGHT</t>
  </si>
  <si>
    <t>LVPL18HRG-HAZ CEIL. MT. 18W PVC CF FIXT. GREEN HRGG HAZ SCEPTALIGHT</t>
  </si>
  <si>
    <t>LVPL26HRC-HAZ CEIL. MT. 26W PVC CF FIXT. CLEAR HRGG HAZ SCEPTALIGHT</t>
  </si>
  <si>
    <t>LVPL26HRR-HAZ CEIL. MT. 26W PVC CF FIXT. RED HR GG HAZ SCEPTALIGHT</t>
  </si>
  <si>
    <t>LVPL26HRA-HAZ CEIL. MT. 26W PVC CF FIXT. AMBER HRGG HAZ SCEPTALIGHT</t>
  </si>
  <si>
    <t>LPMF150HRC-HAZ PEND. MOUNT 150W PVC INC. FIXT.CLEAR HR GG SCEPTALIGHT</t>
  </si>
  <si>
    <t>LPMF150HRR-HAZ PEND. MOUNT 150W PVC LT/FIX REDSCEPTALIGHT</t>
  </si>
  <si>
    <t>LPPL18HRC-HAZ PEND. MOUNT18W PVC CF FIXT. CLEAR HRGG SCEPTALIGHT</t>
  </si>
  <si>
    <t>LPPL18HRR-HAZ PEND. MOUNT18W PVC CF FIXT. RED HR GG SCEPTALIGHT</t>
  </si>
  <si>
    <t>LPPL26HRC-HAZ PEND. MOUNT26W PVC CF FIXT. CLEAR HRGG HAZ SCEPTALIGHT</t>
  </si>
  <si>
    <t>LGC150 PVC CLEAR STD GG SCEPTALIGHT</t>
  </si>
  <si>
    <t>LG150T CLEAR HR GG SCEPTALIGHT</t>
  </si>
  <si>
    <t>LCGR150T PVC RED HR GG SCEPTALIGHT</t>
  </si>
  <si>
    <t>LCGB150T BLUE HR GG SCEPTALIGHT</t>
  </si>
  <si>
    <t>LCGG150T PVC GREEN HR GG SCEPTALIGHT</t>
  </si>
  <si>
    <t>LCGA150T PVC AMBER HR GG SCEPTALIGHT</t>
  </si>
  <si>
    <t>LPCC18 CLEAR PG SCEPTALIGHT</t>
  </si>
  <si>
    <t>C05 1/2" PVC TYPE C ACCESS FITTING KRALOY</t>
  </si>
  <si>
    <t>078AN</t>
  </si>
  <si>
    <t>C07 3/4" PVC TYPE C ACCESS FITTING KRALOY</t>
  </si>
  <si>
    <t>C10 1" PVC TYPE C ACCESS FITTING KRALOY</t>
  </si>
  <si>
    <t>C12 1 1/4" PVC TYPE C ACCESS FITTING KRALOY</t>
  </si>
  <si>
    <t>C15 1 1/2" PVC TYPE C ACCESS FITTING KRALOY</t>
  </si>
  <si>
    <t>C20 2" PVC TYPE C ACCESS FITTING KRALOY</t>
  </si>
  <si>
    <t>C25 2 1/2" PVC TYPE C ACCESS FITTING KRALOY</t>
  </si>
  <si>
    <t>C30 3" PVC TYPE C ACCESS FITTING KRALOY</t>
  </si>
  <si>
    <t>C35 3 1/2" PVC TYPE C ACCESS FITTING KRALOY</t>
  </si>
  <si>
    <t>C40 4" PVC TYPE C ACCESS FITTING KRALOY</t>
  </si>
  <si>
    <t>E05 1/2" PVC TYPE E ACCESS FITTING KRALOY</t>
  </si>
  <si>
    <t>E07 3/4" PVC TYPE E ACCESS FITTING KRALOY</t>
  </si>
  <si>
    <t>E10 1" PVC TYPE E ACCESS FITTING KRALOY</t>
  </si>
  <si>
    <t>E12 1 1/4" PVC TYPE E ACCESS FITTING KRALOY</t>
  </si>
  <si>
    <t>E15 1 1/2" PVC TYPE E ACCESS FITTING KRALOY</t>
  </si>
  <si>
    <t>E20 2" PVC TYPE E ACCESS FITTING KRALOY</t>
  </si>
  <si>
    <t>E25 2 1/2" PVC TYPE E ACCESS FITTING KRALOY</t>
  </si>
  <si>
    <t>3 " E</t>
  </si>
  <si>
    <t>3 1/2" E</t>
  </si>
  <si>
    <t>4" E</t>
  </si>
  <si>
    <t>LB05 1/2" PVC TYPE LB ACCESS FITTING KRALOY</t>
  </si>
  <si>
    <t>078CR</t>
  </si>
  <si>
    <t>LB07 3/4" PVC TYPE LB ACCESS FITTING KRALOY</t>
  </si>
  <si>
    <t>LB10 1" PVC TYPE LB ACCESS FITTING KRALOY</t>
  </si>
  <si>
    <t>LB12 1 1/4" PVC TYPE LB ACCESS FITTING KRALOY</t>
  </si>
  <si>
    <t>LB15 1 1/2" PVC TYPE LB ACCESS FITTING KRALOY</t>
  </si>
  <si>
    <t>LB20 2" PVC TYPE LB ACCESS FITTING KRALOY</t>
  </si>
  <si>
    <t>LB25 2 1/2" PVC TYPE LB ACCESS FITTING KRALOY</t>
  </si>
  <si>
    <t>LB30 3" PVC TYPE LB ACCESS FITTING KRALOY</t>
  </si>
  <si>
    <t>LB35 3 1/2" PVC TYPE LB ACCESS FITTING KRALOY</t>
  </si>
  <si>
    <t>LB40 4" PVC TYPE LB ACCESS FITTING KRALOY</t>
  </si>
  <si>
    <t>T05 1/2" PVC TYPE T ACCESS FITTING KRALOY</t>
  </si>
  <si>
    <t>T07 3/4" PVC TYPE T ACCESS FITTING KRALOY</t>
  </si>
  <si>
    <t>T10 1" PVC TYPE T ACCESS FITTING KRALOY</t>
  </si>
  <si>
    <t>T12 1 1/4" PVC TYPE T ACCESS FITTING KRALOY</t>
  </si>
  <si>
    <t>T15 1 1/2" PVC TYPE T ACCESS FITTING KRALOY</t>
  </si>
  <si>
    <t>T20 2" PVC TYPE T ACCESS FITTING KRALOY</t>
  </si>
  <si>
    <t>T25 2 1/2" PVC TYPE T ACCESS FITTING KRALOY</t>
  </si>
  <si>
    <t>T30 3" PVC TYPE T ACCESS FITTING KRALOY</t>
  </si>
  <si>
    <t>T35 3 1/2" PVC TYPE T ACCESS FITTING KRALOY</t>
  </si>
  <si>
    <t>T40 4" PVC TYPE T ACCESS FITTING KRALOY</t>
  </si>
  <si>
    <t>LL05 1/2" PVC TYPE LL ACCESS FITTING KRALOY</t>
  </si>
  <si>
    <t>LL07 3/4" PVC TYPE LL ACCESS FITTING KRALOY</t>
  </si>
  <si>
    <t>LL10 1" PVC TYPE LL ACCESS FITTING KRALOY</t>
  </si>
  <si>
    <t>LL12 1 1/4" PVC TYPE LL ACCESS FITTING KRALOY</t>
  </si>
  <si>
    <t>LL15 1 1/2" PVC TYPE LL ACCESS FITTING KRALOY</t>
  </si>
  <si>
    <t>LL20 2" PVC TYPE LL ACCESS FITTING KRALOY</t>
  </si>
  <si>
    <t>LL25 2 1/2" PVC TYPE LL ACCESS FITTING KRALOY</t>
  </si>
  <si>
    <t>LL30 3" PVC TYPE LL ACCESS FITTING KRALOY</t>
  </si>
  <si>
    <t>LL35 3 1/2" PVC TYPE LL ACCESS FITTING KRALOY</t>
  </si>
  <si>
    <t>LL40 4" PVC TYPE LL ACCESS FITTING KRALOY</t>
  </si>
  <si>
    <t>LR05 1/2" PVC TYPE LR ACCESS FITTING KRALOY</t>
  </si>
  <si>
    <t>LR07 3/4" PVC TYPE LR ACCESS FITTING KRALOY</t>
  </si>
  <si>
    <t>LR10 1" PVC TYPE LR ACCESS FITTING KRALOY</t>
  </si>
  <si>
    <t>LR12 1 1/4" PVC TYPE LR ACCESS FITTING KRALOY</t>
  </si>
  <si>
    <t>LR15 1 1/2" PVC TYPE LR ACCESS FITTING KRALOY</t>
  </si>
  <si>
    <t>LR20 2" PVC TYPE LR ACCESS FITTING KRALOY</t>
  </si>
  <si>
    <t>LR25 2 1/2" PVC TYPE LR ACCESS FITTING KRALOY</t>
  </si>
  <si>
    <t>LR30 3" PVC TYPE LR ACCESS FITTING KRALOY</t>
  </si>
  <si>
    <t>LR35 3 1/2" PVC TYPE LR ACCESS FITTING KRALOY</t>
  </si>
  <si>
    <t>LR40 4" PVC TYPE LR ACCESS FITTING KRALOY</t>
  </si>
  <si>
    <t>STB10S 1/2" PVC TYPE TB ACCESS FITTING SCEPTER</t>
  </si>
  <si>
    <t>STB20S 3/4" PVC TYPE TB ACCESS FITTING SCEPTER</t>
  </si>
  <si>
    <t>1" PVC TYPE TB ACCESS FITTING SCEPTER</t>
  </si>
  <si>
    <t>STB40S 1 1/4" PVC TYPE TBACCESS FITTING SCEPTER</t>
  </si>
  <si>
    <t>STB50S 1 1/2" PVC TYPE TBACCESS FITTING SCEPTER</t>
  </si>
  <si>
    <t>STB60S 2" PVC TYPE TB ACCESS FITTING SCEPTER</t>
  </si>
  <si>
    <t>PULEL0705 90D PVC PULL ELBOW 1/2 OR 3/4" HUB KRALOY</t>
  </si>
  <si>
    <t>078AM</t>
  </si>
  <si>
    <t>SRC15 PVC STRAIN RELIEF CONNECTOR SCEPTER</t>
  </si>
  <si>
    <t>078BH</t>
  </si>
  <si>
    <t>SRCU07 PVC STRAIN RELIEF CONNECTOR W/ GROMMETS - 3/4" SW ME KRALOY</t>
  </si>
  <si>
    <t>TSRCU05 1/2" PVC THR STRAIN RELIEF CONNECTOR KRALOY</t>
  </si>
  <si>
    <t>TSRCU07 3/4" PVC THR STRAIN RELIEF CONNECTOR KRALOY</t>
  </si>
  <si>
    <t>JB442 4"x4"x2" PVC JUNCTION BOX KRALOY</t>
  </si>
  <si>
    <t>078BM</t>
  </si>
  <si>
    <t>JB444 4"x4"x4" PVC JUNCTION BOX KRALOY</t>
  </si>
  <si>
    <t>JB446 4"x4"x6" PVC JUNCTION BOX KRALOY</t>
  </si>
  <si>
    <t>JB552 5"x5"x2" PVC JUNCTION BOX KRALOY</t>
  </si>
  <si>
    <t>JB664 6"x6"x4" PVC JUNCTION BOX KRALOY</t>
  </si>
  <si>
    <t>JB666 6"x6"x6" PVC JUNCTION BOX KRALOY</t>
  </si>
  <si>
    <t>JB884 8"x8"x4" PVC JUNCTION BOX KRALOY</t>
  </si>
  <si>
    <t>JB887 8"x8"x7" PVC JUNCTION BOX KRALOY</t>
  </si>
  <si>
    <t>JB12124 12"x12"x4" PVC JUNCTION BOX KRALOY</t>
  </si>
  <si>
    <t>JB12126 12"x12"x6" PVC JUNCTION BOX KRALOY</t>
  </si>
  <si>
    <t>JB12128 12"x12"x8" PVC JUNCTION BOX KRALOY</t>
  </si>
  <si>
    <t>JBA05 1/2" PVC JUNCTION BOX ADPT KRALOY</t>
  </si>
  <si>
    <t>078BN</t>
  </si>
  <si>
    <t>JBA07 3/4" PVC JUNCTION BOX ADPT KRALOY</t>
  </si>
  <si>
    <t>JBA10 1" PVC JUNCTION BOXADPT KRALOY</t>
  </si>
  <si>
    <t>JBA12 1 1/4" PVC JUNCTIONBOX ADPT KRALOY</t>
  </si>
  <si>
    <t>JBA15 1 1/2" PVC JUNCTIONBOX ADPT KRALOY</t>
  </si>
  <si>
    <t>JBA20 2" PVC JUNCTION BOXADPT KRALOY</t>
  </si>
  <si>
    <t>JBA25 2 1/2" PVC JUNCTIONBOX ADPT KRALOY</t>
  </si>
  <si>
    <t>JBA30 3" PVC JUNCTION BOXADPT KRALOY</t>
  </si>
  <si>
    <t>JBA35 3 1/2" PVC JUNCTIONBOX ADPT KRALOY</t>
  </si>
  <si>
    <t>JBA40 4" PVC JUNCTION BOXADPT KRALOY</t>
  </si>
  <si>
    <t>0B401505/07 4"x1 1/2" PVCOCTAGONAL BOX 1/2 OR 3/4"HUB KRALOY</t>
  </si>
  <si>
    <t>078BI</t>
  </si>
  <si>
    <t>OB402010 4"x2" PVC OCTAGONAL BOX 1" HUB KRALOY</t>
  </si>
  <si>
    <t>XR20 1" PVC OCTAGONAL BOXEXTENSION RING SCEPTER</t>
  </si>
  <si>
    <t>XR35 2" PVC OCTAGONAL BOXEXTENSION RING SCEPTER</t>
  </si>
  <si>
    <t>LFB150C CEIL. MT. PVC JUNCTION BOX 3/4-3/4" HUBSCEPTALIGHT</t>
  </si>
  <si>
    <t>077CK</t>
  </si>
  <si>
    <t>LFB150T PVC THR JUNCTION BOX W/ 1/2" THR HOLE SCEPTALIGHT</t>
  </si>
  <si>
    <t>JBX442 4"x4"x2" PVC JUNCTION BOX KRALOY</t>
  </si>
  <si>
    <t>078DA</t>
  </si>
  <si>
    <t>JBX444 4"x4"x4" PVC JUNCTION BOX KRALOY</t>
  </si>
  <si>
    <t>JBX552 5"x5"x2" PVC JUNCTION BOX KRALOY</t>
  </si>
  <si>
    <t>JBX634 6"x3"x4" PVC JUNCTION BOX KRALOY</t>
  </si>
  <si>
    <t>JBX664 6"x6"x4" PVC JUNCTION BOX KRALOY</t>
  </si>
  <si>
    <t>JBX666 6"x6"x6" PVC JUNCTION BOX KRALOY</t>
  </si>
  <si>
    <t>JBX884 8"x8"x4" PVC JUNCTION BOX KRALOY</t>
  </si>
  <si>
    <t>JBX887 8"x8"x7" PVC JUNCTION BOX KRALOY</t>
  </si>
  <si>
    <t>JBX12124 12"x12"x4" PVC JUNCTION BOX KRALOY</t>
  </si>
  <si>
    <t>JBX12126 12"x12"x6" PVC JUNCTION BOX KRALOY</t>
  </si>
  <si>
    <t>JBX12128 12"x12"x8" PVC JUNCTION BOX KRALOY</t>
  </si>
  <si>
    <t>14"x14"x8" PVC JUNCTION BOX KRALOY</t>
  </si>
  <si>
    <t>078DE</t>
  </si>
  <si>
    <t>14"x14"x10" PVC JUNCTION BOX KRALOY</t>
  </si>
  <si>
    <t>16"x16"x10" PVC JUNCTION BOX KRALOY</t>
  </si>
  <si>
    <t>PMK4-12 JUNCTION BOX POLEMOUNT KIT 4X4 - 12X12 SCEPTER</t>
  </si>
  <si>
    <t>077JB</t>
  </si>
  <si>
    <t>PMK4-12SS JUNCTION BOX POLE MOUNT KIT 4X4 - 12X12 SCEPTER</t>
  </si>
  <si>
    <t>077C</t>
  </si>
  <si>
    <t>PMK14-16SS JUNCTION BOX POLE MOUNT KIT 14"X14" - 16"X16" KRALOY/SCEPTER</t>
  </si>
  <si>
    <t>BP66CSW 6"x6" BACK PANEL WITH WHITE EPOXY COATING</t>
  </si>
  <si>
    <t>BP88CSW 8"x8" BACK PANEL WITH WHITE EPOXY COATING</t>
  </si>
  <si>
    <t>12"x10" BACK PANEL WITH WHITE EPOXY COATING</t>
  </si>
  <si>
    <t>BP1212CSW 12"x12" BACK PANEL WITH WHITE EPOXY COATING</t>
  </si>
  <si>
    <t>14"x14" BACK PANEL WITH WHITE EPOXY COATING</t>
  </si>
  <si>
    <t>16"x16" BACK PANEL WITH WHITE EPOXY COATING</t>
  </si>
  <si>
    <t>8"x8"x4" PVC JUNCTION BOXHINGED KRALOY</t>
  </si>
  <si>
    <t>078DC</t>
  </si>
  <si>
    <t>8"x8"x7" PVC JUNCTION BOXHINGED KRALOY</t>
  </si>
  <si>
    <t>12"x10"x6" PVC JUNCTION BOX HINGED KRALOY</t>
  </si>
  <si>
    <t>12"x12"x4" PVC JUNCTION BOX HINGED KRALOY</t>
  </si>
  <si>
    <t>12"x12"x6" PVC JUNCTION BOX HINGED KRALOY</t>
  </si>
  <si>
    <t>12"x12"x8" PVC JUNCTION BOX HINGED KRALOY</t>
  </si>
  <si>
    <t>14"x14"x8" PVC JUNCTION BOX HINGED KRALOY</t>
  </si>
  <si>
    <t>14"x14"x10" PVC JUNCTION BOX HINGED KRALOY</t>
  </si>
  <si>
    <t>16"x16"x10" PVC JUNCTION BOX HINGED KRALOY</t>
  </si>
  <si>
    <t>FSC05 1/2" PVC FSC SING. GANG BOX KRALOY</t>
  </si>
  <si>
    <t>078AZ</t>
  </si>
  <si>
    <t>FSC07 3/4" PVC FSC SING. GANG BOX KRALOY</t>
  </si>
  <si>
    <t>FSE05 1/2" PVC FSE SING. GANG BOX KRALOY</t>
  </si>
  <si>
    <t>FSE07 3/4" PVC FSE SING. GANG BOX KRALOY</t>
  </si>
  <si>
    <t>FSS05 1/2" PVC FSS SING. GANG BOX KRALOY</t>
  </si>
  <si>
    <t>FSS07 3/4" PVC FSS SING. GANG BOX KRALOY</t>
  </si>
  <si>
    <t>FSCC05 1/2" PVC FSCC SING. GANG BOX KRALOY</t>
  </si>
  <si>
    <t>FSCC07 3/4" PVC FSCC SING. GANG BOX KRALOY</t>
  </si>
  <si>
    <t>FD PVC FD SING. GANG BOX DEEP KRALOY</t>
  </si>
  <si>
    <t>FSCD050710 PVC FSC SING. GANG BOX DEEP KRALOY</t>
  </si>
  <si>
    <t>FSED050710 PVC FSE SING. GANG BOX DEEP KRALOY</t>
  </si>
  <si>
    <t>PVC FDS SING. GANG BOX DEEP WITHOUT INSERTS SCEPTER</t>
  </si>
  <si>
    <t>078DO</t>
  </si>
  <si>
    <t>PVC FDC SING. GANG BOX DEEP WITHOUT INSERTS SCEPTER</t>
  </si>
  <si>
    <t>FSCC-2-050710-U PVC FSCC DBL GANG BOX KRALOY</t>
  </si>
  <si>
    <t>FSC-2-050710-U PVC FSC DBL GANG BOX KRALOY</t>
  </si>
  <si>
    <t>FD-2-U PVC FD BLANK DBL GANG BOX KRALOY</t>
  </si>
  <si>
    <t>FSE-2-050710-U PVC FSE DBL GANG BOX KRALOY</t>
  </si>
  <si>
    <t>FSS-2-050710-U PVC FSS DBL GANG BOX KRALOY</t>
  </si>
  <si>
    <t>FSC-3-050710 PVC FSC TRIPLE GANG BOX KRALOY</t>
  </si>
  <si>
    <t>278AA</t>
  </si>
  <si>
    <t>FSE-3-050710 FSE TRIPLE GANG BOX KRALOY</t>
  </si>
  <si>
    <t>FD-3 PVC FD BLANK TRIPLE GANG BOX DEEP KRALOY</t>
  </si>
  <si>
    <t>TSC15/10 PVC SING. GANG COV. PLATE TOGGLE SWITCH KRALOY</t>
  </si>
  <si>
    <t>078BA</t>
  </si>
  <si>
    <t>DRC15/10 PVC SING. GANG COV. PLATE DUP. REC. KRALOY</t>
  </si>
  <si>
    <t>20RC15/10 PVC SING. GANG COV. PLATE SING. REC. KRALOY</t>
  </si>
  <si>
    <t>20-3RC15/10 PVC SING. GANG COV. PLATE SING. REC. KRALOY</t>
  </si>
  <si>
    <t>30-3RC15/10 PVC SING. GANG COV. PLATE SING. REC. KRALOY</t>
  </si>
  <si>
    <t>FSKIT PVC SING. GANG COV.PLATE BLANK W/ GSKT KRALOY</t>
  </si>
  <si>
    <t>VSC15/10 PVC WP SING. GANG COV. TOGGLE SWITCH KRALOY</t>
  </si>
  <si>
    <t>078BD</t>
  </si>
  <si>
    <t>VPT15/10 PVC WP SING. GANG COV. PLUNGER STYLE SWITCH KRALOY</t>
  </si>
  <si>
    <t>WTG15/10 PVC WP SING. GANG COV. TOGGLE SWITCH KRALOY</t>
  </si>
  <si>
    <t>WDR15/10 PVC WP SING. GANG COV. DUP. REC. GREY KRALOY</t>
  </si>
  <si>
    <t>RWDR15/10 PVC WP SING. GANG COV. DUP. REC. WHITEKRALOY</t>
  </si>
  <si>
    <t>WGF15/10 PVC WP SING. GANG COV. GFI REC. GREY KRALOY</t>
  </si>
  <si>
    <t>RWGF15/10 PVC WP SING. GANG COV. GFI REC. WHITE KRALOY</t>
  </si>
  <si>
    <t>WDRE15/10 PVC WP SING. GANG COV. DBL DOOR DUP. REC. KRALOY</t>
  </si>
  <si>
    <t>RWDRE15/10 PVC WP SING. GANG COV. DBL DOOR DUP. REC. WHITE KRALOY</t>
  </si>
  <si>
    <t>WTL15 PVC WP SING. GANG COV. SING. REC. 15 AMP KRALOY</t>
  </si>
  <si>
    <t>WTL20 PVC WP SING. GANG COV. SING. REC. 20 AMP KRALOY</t>
  </si>
  <si>
    <t>WTL30 PVC WP SING. GANG COV. TWIST-LOCK 30 AMP KRALOY</t>
  </si>
  <si>
    <t>WTL50 PVC WP SING. GANG COV. TWIST-LOCK 50 AMP KRALOY</t>
  </si>
  <si>
    <t>GASK W PVC WP SING. GANG COV. GSKT FOR 'W' BOX SCEPTER/KRALOY</t>
  </si>
  <si>
    <t>SGL.GANG DR.UNIV.GASKET SCEPTER</t>
  </si>
  <si>
    <t>TSC20-2-U PVC DBL GANG COV. PLATE DBL SWITCH KRALOY</t>
  </si>
  <si>
    <t>TSDC20-2-U PVC DBL GANG COV. PLATE COMBO SWITCH SING. REC. KRALOY</t>
  </si>
  <si>
    <t>DRC20-2-U PVC DBL GANG COV. PLATE DBL DUP. REC. KRALOY</t>
  </si>
  <si>
    <t>BRC20-2-U PVC DBL GANG COV. PLATE BLANK W/ GSKT KRALOY</t>
  </si>
  <si>
    <t>VSC20-2-U PVC WP DBL GANGCOV. TOGGLE SWITCH KRALOY</t>
  </si>
  <si>
    <t>078AS</t>
  </si>
  <si>
    <t>VSRC20-2-U PVC WP DBL GANG COV. COMBO SWITCH &amp; GFI REC. KRALOY</t>
  </si>
  <si>
    <t>VSDR20-2-U PVC WP DBL GANG COV. COMBO SWITCH &amp; DUP. REC. KRALOY</t>
  </si>
  <si>
    <t>VSGG20-2 PVC WP DBL GANG COV. DBL DOOR KRALOY</t>
  </si>
  <si>
    <t>VSDD20-2 PVC WP DBL GANG COV. DBL DOOR DUP. REC. KRALOY</t>
  </si>
  <si>
    <t>GASKFU20-2</t>
  </si>
  <si>
    <t>DBL. GANG UNIV.GASKET SCEPTER</t>
  </si>
  <si>
    <t>TSC20-3 PVC TRIPLE GANG COV. PLATE TRIPLE SWITCH KRALOY</t>
  </si>
  <si>
    <t>278AB</t>
  </si>
  <si>
    <t>DSDR20-3 PVC TRIPLE GANG COV. PLATE TRIPLE SWITCH KRALOY</t>
  </si>
  <si>
    <t>TSDC20-3 TPL GNG CR SSW DR</t>
  </si>
  <si>
    <t>DRC20-3 PVC TRIPLE GANG COV. PLATE TRIPLE REC. KRALOY</t>
  </si>
  <si>
    <t>BRC20-3 PVC TRIPLE GANG COV. PLATE BLANK KRALOY</t>
  </si>
  <si>
    <t>GASK20-3 PVC TRIPLE GANG COV. PLATE GSKT FOR 'F' BOX SCEPTER/KRALOY</t>
  </si>
  <si>
    <t>PS05 1/2" PVC PIPE STRAP 2 HOLE KRALOY</t>
  </si>
  <si>
    <t>078BB</t>
  </si>
  <si>
    <t>PS07 3/4" PVC PIPE STRAP 2 HOLE KRALOY</t>
  </si>
  <si>
    <t>PS10 1" PVC PIPE STRAP 2 HOLE KRALOY</t>
  </si>
  <si>
    <t>PS12 1 1/4" PVC PIPE STRAP 2 HOLE KRALOY</t>
  </si>
  <si>
    <t>PS15 1 1/2" PVC PIPE STRAP 2 HOLE KRALOY</t>
  </si>
  <si>
    <t>PS20 2" PVC PIPE STRAP 2 HOLE KRALOY</t>
  </si>
  <si>
    <t>2 1/2" PVC COND. PIPE STRAP KRALOY</t>
  </si>
  <si>
    <t>3" PVC COND. PIPE STRAP KRALOY</t>
  </si>
  <si>
    <t>4" PVC COND. PIPE STRAP KRALOY</t>
  </si>
  <si>
    <t>PSC20 2" PVC COATED STEELPIPE STRAP 2 HOLE KRALOY</t>
  </si>
  <si>
    <t>078AU</t>
  </si>
  <si>
    <t>PSC25 2 1/2" PVC COATED STEEL PIPE STRAP 2 HOLE KRALOY</t>
  </si>
  <si>
    <t>PCS30 3" PVC COATED STEELPIPE STRAP 2 HOLE KRALOY</t>
  </si>
  <si>
    <t>PCS35 3 1/2" PVC COATED STEEL PIPE STRAP 2 HOLE KRALOY</t>
  </si>
  <si>
    <t>PCS40 4" PVC COATED STEELPIPE STRAP 2 HOLE KRALOY</t>
  </si>
  <si>
    <t>PSC50 5" PVC COATED STEELPIPE STRAP 2 HOLE KRALOY</t>
  </si>
  <si>
    <t>PSC60 6" PVC COATED STEELPIPE STRAP 2 HOLE KRALOY</t>
  </si>
  <si>
    <t>CCS10 1/2" PVC COND. CLAMP AND SPACER KRALOY</t>
  </si>
  <si>
    <t>278CS</t>
  </si>
  <si>
    <t>CCS15 3/4" PVC COND. CLAMP AND SPACER KRALOY</t>
  </si>
  <si>
    <t>CCS20 1" PVC COND. CLAMP AND SPACER KRALOY</t>
  </si>
  <si>
    <t>CCS25 1 1/4" PVC COND. CLAMP AND SPACER KRALOY</t>
  </si>
  <si>
    <t>CCS30 1 1/2" PVC COND. CLAMP AND SPACER KRALOY</t>
  </si>
  <si>
    <t>CCS35 2" PVC COND. CLAMP AND SPACER KRALOY</t>
  </si>
  <si>
    <t>CCS-B PVC COND. CLAMP ANDSPACER STRUT BASE KRALOY</t>
  </si>
  <si>
    <t>MEB05 1/2" PVC MLD END BELL KRALOY</t>
  </si>
  <si>
    <t>078BS</t>
  </si>
  <si>
    <t>MEB07 3/4" PVC MLD END BELL KRALOY</t>
  </si>
  <si>
    <t>MEB10 1" PVC MLD END BELLKRALOY</t>
  </si>
  <si>
    <t>MEB12 1 1/4" PVC MLD END BELL KRALOY</t>
  </si>
  <si>
    <t>MEB15 1 1/2" PVC MLD END BELL KRALOY</t>
  </si>
  <si>
    <t>MEB20 2" PVC MLD END BELLKRALOY</t>
  </si>
  <si>
    <t>MEB25 2 1/2" PVC MLD END BELL KRALOY</t>
  </si>
  <si>
    <t>MEB30 3" PVC MLD END BELLKRALOY</t>
  </si>
  <si>
    <t>MEB35 3 1/2" PVC MLD END BELL KRALOY</t>
  </si>
  <si>
    <t>MEB40 4" PVC MLD END BELLKRALOY</t>
  </si>
  <si>
    <t>MEB50 5" PVC MLD END BELLKRALOY</t>
  </si>
  <si>
    <t>MEB60 6" PVC MLD END BELLKRALOY</t>
  </si>
  <si>
    <t>EB80 8" PVC MLD END BELL SCEPTER/KRALOY</t>
  </si>
  <si>
    <t>MO12 1 1/4" PVC METER OFFSET KRALOY</t>
  </si>
  <si>
    <t>078AP</t>
  </si>
  <si>
    <t>MO20 2" PVC METER OFFSET KRALOY</t>
  </si>
  <si>
    <t>MHU25 1 1/4" PVC METER HUB SCEPTER</t>
  </si>
  <si>
    <t>077AR</t>
  </si>
  <si>
    <t>MHU30 1 1/2" PVC METER HUB SCEPTER</t>
  </si>
  <si>
    <t>MHU35 2" PVC METER HUB SCEPTER</t>
  </si>
  <si>
    <t>MHU40 2 1/2" PVC METER HUB SCEPTER</t>
  </si>
  <si>
    <t>MHU45 3" PVC METER HUB SCEPTER</t>
  </si>
  <si>
    <t>MH05 1/2" PVC SERVICE ENTRANCE FITTING KRALOY</t>
  </si>
  <si>
    <t>078BE</t>
  </si>
  <si>
    <t>MH07 3/4" PVC SERVICE ENTRANCE FITTING KRALOY</t>
  </si>
  <si>
    <t>MH10 1" PVC SERVICE ENTRANCE FITTING KRALOY</t>
  </si>
  <si>
    <t>MH12 1 1/4" PVC SERVICE ENTRANCE FITTING KRALOY</t>
  </si>
  <si>
    <t>MH15 1 1/2" PVC SERVICE ENTRANCE FITTING KRALOY</t>
  </si>
  <si>
    <t>MH20 2" PVC SERVICE ENTRANCE FITTING KRALOY</t>
  </si>
  <si>
    <t>MH25 2 1/2" PVC SERVICE ENTRANCE FITTING KRALOY</t>
  </si>
  <si>
    <t>MH30 3" PVC SERVICE ENTRANCE FITTING KRALOY</t>
  </si>
  <si>
    <t>MH35 3 1/2" PVC SERVICE ENTRANCE FITTING KRALOY</t>
  </si>
  <si>
    <t>MH40 4" PVC SERVICE ENTRANCE FITTING KRALOY</t>
  </si>
  <si>
    <t>UTP20 2-2 1/2" PE TAPEREDPLUG KRALOY</t>
  </si>
  <si>
    <t>078BK</t>
  </si>
  <si>
    <t>UTP30 3-3 1/2" PE TAPEREDPLUG KRALOY</t>
  </si>
  <si>
    <t>UTP40 4" PE TAPERED PLUG KRALOY</t>
  </si>
  <si>
    <t>UTP50 5" PE TAPERED PLUG KRALOY</t>
  </si>
  <si>
    <t>UTP60 6" PE TAPERED PLUG KRALOY</t>
  </si>
  <si>
    <t>PP80 8" PE TAPERED PLUG SCEPTER</t>
  </si>
  <si>
    <t>EC05 1/2" PVC END CAP KRALOY</t>
  </si>
  <si>
    <t>078BJ</t>
  </si>
  <si>
    <t>EC07 3/4" PVC END CAP KRALOY</t>
  </si>
  <si>
    <t>EC10 1" PVC END CAP KRALOY</t>
  </si>
  <si>
    <t>EC12 1 1/4" PVC END CAP KRALOY</t>
  </si>
  <si>
    <t>EC15 1 1/2" PVC END CAP KRALOY</t>
  </si>
  <si>
    <t>EC20 2" PVC END CAP KRALOY</t>
  </si>
  <si>
    <t>EC25 2 1/2" PVC END CAP KRALOY</t>
  </si>
  <si>
    <t>EC30 3" PVC END CAP KRALOY</t>
  </si>
  <si>
    <t>CAP50 3 1/2" PVC END CAP SW SCEPTER/KRALOY</t>
  </si>
  <si>
    <t>EC40 4" PVC END CAP KRALOY</t>
  </si>
  <si>
    <t>CAP60 5" PVC END CAP SW SCEPTER</t>
  </si>
  <si>
    <t>EC60 6" PVC END CAP KRALOY</t>
  </si>
  <si>
    <t>8" PVC CAP SOC SCH40 SCEPTER/KRALOY</t>
  </si>
  <si>
    <t>MR0705 3/4"x1/2" PVC RED.BUSHING KRALOY</t>
  </si>
  <si>
    <t>078BC</t>
  </si>
  <si>
    <t>MR1005 1"x1/2" PVC RED. BUSHING KRALOY</t>
  </si>
  <si>
    <t>MR1007 1"x3/4" PVC RED. BUSHING KRALOY</t>
  </si>
  <si>
    <t>MR1207 1 1/4"x3/4" PVC RED. BUSHING KRALOY</t>
  </si>
  <si>
    <t>MR1210 1 1/4"x1" PVC RED.BUSHING KRALOY</t>
  </si>
  <si>
    <t>MR1510 1 1/2"x1" PVC RED.BUSHING KRALOY</t>
  </si>
  <si>
    <t>MR1512 1 1/2"x1 1/4" PVC RED. BUSHING KRALOY</t>
  </si>
  <si>
    <t>MR2010 2"x1" PVC RED. BUSHING KRALOY</t>
  </si>
  <si>
    <t>MR2012 2"x1 1/4" PVC RED.BUSHING KRALOY</t>
  </si>
  <si>
    <t>MR2015 2"x1 1/2" PVC RED.BUSHING KRALOY</t>
  </si>
  <si>
    <t>MR2520 2 1/2"x2" PVC RED.BUSHING KRALOY</t>
  </si>
  <si>
    <t>MR3020 3"x2" PVC RED. BUSHING KRALOY</t>
  </si>
  <si>
    <t>MR3025 3"x2 1/2" PVC RED.BUSHING KRALOY</t>
  </si>
  <si>
    <t>MR4020 4"x2" PVC RED. BUSHING KRALOY</t>
  </si>
  <si>
    <t>MR4030 4"x3" PVC RED. BUSHING KRALOY</t>
  </si>
  <si>
    <t>MR4035 4"x3 1/2" PVC RED.BUSHING KRALOY</t>
  </si>
  <si>
    <t>OPEJ05 1/2" PVC ONE PIECEEXPANSION JOINT KRALOY</t>
  </si>
  <si>
    <t>078BF</t>
  </si>
  <si>
    <t>OPEJ07 3/4" PVC ONE PIECEEXPANSION JOINT KRALOY</t>
  </si>
  <si>
    <t>OPEJ10 1" PVC ONE PIECE EXPANSION JOINT KRALOY</t>
  </si>
  <si>
    <t>OPEJ12 1 1/4" PVC ONE PIECE EXPANSION JOINT KRALOY</t>
  </si>
  <si>
    <t>OPEJ15 1 1/2" PVC ONE PIECE EXPANSION JOINT KRALOY</t>
  </si>
  <si>
    <t>OPEJ20 2" PVC ONE PIECE EXPANSION JOINT KRALOY</t>
  </si>
  <si>
    <t>SE-J-35 2" PVC EXPANSION AND DEFLECTION FITTINGS ASSEMB. SCEPTER/KRALOY</t>
  </si>
  <si>
    <t>077BR</t>
  </si>
  <si>
    <t>SE-J-45 3" PVC EXPANSION AND DEFLECTION FITTINGS ASSEMB. SCEPTER/KRALOY</t>
  </si>
  <si>
    <t>SE-J-55 4" PVC EXPANSION AND DEFLECTION FITTINGS ASSEMB. SCEPTER/KRALOY</t>
  </si>
  <si>
    <t>SMR20TA 2" PVC SLIP METERRISER SCH40 W/ 2" TA SCEPTER/KRALOY</t>
  </si>
  <si>
    <t>068BU</t>
  </si>
  <si>
    <t>SMR25TA 2 1/2" PVC SLIP METER RISER SCH40 W/ 2 1/2" TA SCEPTER/KRALOY</t>
  </si>
  <si>
    <t>SMR30TA 3" PVC SLIP METERRISER SCH40 W/ 3" TA SCEPTER/KRALOY</t>
  </si>
  <si>
    <t>SMR40TA 4" PVC SLIP METERRISER SCH40 W/ 4" TA SCEPTER/KRALOY</t>
  </si>
  <si>
    <t>EJ05 1/2" PVC EXPANSION JOINT KRALOY</t>
  </si>
  <si>
    <t>078BP</t>
  </si>
  <si>
    <t>EJ07 3/4" PVC EXPANSION JOINT KRALOY</t>
  </si>
  <si>
    <t>EJ10 1" PVC EXPANSION JOINT KRALOY</t>
  </si>
  <si>
    <t>EJ12 1 1/4" PVC EXPANSIONJOINT KRALOY</t>
  </si>
  <si>
    <t>EJ15 1 1/2" PVC EXPANSIONJOINT KRALOY</t>
  </si>
  <si>
    <t>EJ20 2" PVC EXPANSION JOINT KRALOY</t>
  </si>
  <si>
    <t>EJ25 2 1/2" PVC EXPANSIONJOINT KRALOY</t>
  </si>
  <si>
    <t>EJ30 3" PVC EXPANSION JOINT KRALOY</t>
  </si>
  <si>
    <t>EJ35 3 1/2" PVC EXPANSIONJOINT KRALOY</t>
  </si>
  <si>
    <t>EJ40 4" PVC EXPANSION JOINT KRALOY</t>
  </si>
  <si>
    <t>EJ50 5" PVC EXPANSION JOINT KRALOY</t>
  </si>
  <si>
    <t>EJ60 6" PVC EXPANSION JOINT KRALOY</t>
  </si>
  <si>
    <t>EJ35 2" O-RING EXPANSION JOINT FXMPT W/TA35</t>
  </si>
  <si>
    <t>077BQ</t>
  </si>
  <si>
    <t>EJ40TA 2 1/2" PVC SPECIALEXPANSION JOINT SCEPTER</t>
  </si>
  <si>
    <t>EJ45 3" O-RING EXPANSION JOINT FXMPT W/TA45</t>
  </si>
  <si>
    <t>EJ55 4" O-RING EXPANSION JOINT FXMPT W/TA55</t>
  </si>
  <si>
    <t>3/4"x1/2" PVC THR RED. BUSHING SPxTHR SCEPTER</t>
  </si>
  <si>
    <t>1"x1/2" PVC THR RED. BUSHING SPxTHR SCEPTER</t>
  </si>
  <si>
    <t>1"x3/4" PVC THR RED. BUSHING SPxTHR SCEPTER</t>
  </si>
  <si>
    <t>2"x1 1/4" PVC SWEDGE RED.CPLG SOCxSOC KRALOY</t>
  </si>
  <si>
    <t>078AT</t>
  </si>
  <si>
    <t>SW2015 2"x1 1/2" PVC SWEDGE RED. CPLG SOCxSOC FAB KRALOY</t>
  </si>
  <si>
    <t>SW2520 2 1/2"x2" PVC SWEDGE RED. CPLG SOCxSOC FAB KRALOY</t>
  </si>
  <si>
    <t>SW3020 3"x2" PVC SWEDGE RED. CPLG SOCxSOC FAB KRALOY</t>
  </si>
  <si>
    <t>SW3025 3"x2 1/2" PVC SWEDGE RED. CPLG SOCxSOC FAB KRALOY</t>
  </si>
  <si>
    <t>SW3530 3 1/2"x3" PVC SWEDGE RED. CPLG SOCxSOC FAB KRALOY</t>
  </si>
  <si>
    <t>SW5535 4"x2" PVC SWEDGE RED. CPLG SOCxSOC FAB SCEPTER</t>
  </si>
  <si>
    <t>SW4030 4"x3" PVC SWEDGE RED. CPLG SOCxSOC FAB KRALOY</t>
  </si>
  <si>
    <t>SW4035 4"x3 1/2" PVC SWEDGE RED. CPLG SOCxSOC FAB KRALOY</t>
  </si>
  <si>
    <t>SW5040 5"x4" PVC SWEDGE RED. CPLG SOCxSOC FAB KRALOY</t>
  </si>
  <si>
    <t>SW6050 6"x5" PVC SWEDGE RED. CPLG SOCxSOC FAB KRALOY</t>
  </si>
  <si>
    <t>IS3530 2"x1 1/2" IVL SPACER SUPERDUCT</t>
  </si>
  <si>
    <t>029BT</t>
  </si>
  <si>
    <t>IS3535 2"x2" IVL SPACER SUPERDUCT</t>
  </si>
  <si>
    <t>IS3545 2"x3" IVL SPACER SUPERDUCT</t>
  </si>
  <si>
    <t>IS4530 3"x1 1/2" ABS IVL SPACER SUPERDUCT</t>
  </si>
  <si>
    <t>IS4535 3"x2" IVL SPACER SUPERDUCT</t>
  </si>
  <si>
    <t>IS4545 3"x3" IVL SPACER SUPERDUCT</t>
  </si>
  <si>
    <t>IS5520 4"x1" ABS IVL SPACER SUPERDUCT</t>
  </si>
  <si>
    <t>IS5530 4"x1 1/2" IVL SPACER SUPERDUCT</t>
  </si>
  <si>
    <t>IS5535 4"x2" IVL SPACER SUPERDUCT</t>
  </si>
  <si>
    <t>IS5545 4"x3" IVL SPACER SUPERDUCT</t>
  </si>
  <si>
    <t>IS6030 5"x1 1/2" ABS IVL SPACER SUPERDUCT</t>
  </si>
  <si>
    <t>IS6035 5"x2" IVL SPACER SUPERDUCT</t>
  </si>
  <si>
    <t>IS6045 5"x3" IVL SPACER SUPERDUCT</t>
  </si>
  <si>
    <t>IS6530 6"x1 1/2" IVL SPACER SUPERDUCT</t>
  </si>
  <si>
    <t>IS6535 6"x2" IVL SPACER SUPERDUCT</t>
  </si>
  <si>
    <t>IS6545 6"x3" IVL SPACER SUPERDUCT</t>
  </si>
  <si>
    <t>8"x2" ABS IVL SPACER SUPERDUCT</t>
  </si>
  <si>
    <t>BS3530 2"x1 1/2" BVL SPACER SUPERDUCT</t>
  </si>
  <si>
    <t>BS3535 2"x2" BVL SPACER SUPERDUCT</t>
  </si>
  <si>
    <t>BS3545 2"x3" BVL SPACER SUPERDUCT</t>
  </si>
  <si>
    <t>BS4530 3"x1 1/2" ABS BVL SPACER SUPERDUCT</t>
  </si>
  <si>
    <t>BS4535 3"x2" BVL SPACER SUPERDUCT</t>
  </si>
  <si>
    <t>BS4545 3"x3" BVL SPACER SUPERDUCT</t>
  </si>
  <si>
    <t>BS5520 4"x1" ABS BVL SPACER SUPERDUCT</t>
  </si>
  <si>
    <t>BS5530 4"x1 1/2" BVL SPACER SUPERDUCT</t>
  </si>
  <si>
    <t>BS5535 4"x2" BVL SPACER SUPERDUCT</t>
  </si>
  <si>
    <t>BS5545 4"x3" BVL SPACER SUPERDUCT</t>
  </si>
  <si>
    <t>BS6030 5"x1 1/2" ABS BVL SPACER SUPERDUCT</t>
  </si>
  <si>
    <t>BS6035 5"x2" BVL SPACER SUPERDUCT</t>
  </si>
  <si>
    <t>BS6045 5"x3" BVL SPACER SUPERDUCT</t>
  </si>
  <si>
    <t>BS6530 6"x1 1/2" BVL SPACER SUPERDUCT</t>
  </si>
  <si>
    <t>BS6535 6"x2" BVL SPACER SUPERDUCT</t>
  </si>
  <si>
    <t>BS6545 6"x3" BVL SPACER SUPERDUCT</t>
  </si>
  <si>
    <t>8"x2" ABS BVL SPACER SUPERDUCT</t>
  </si>
  <si>
    <t>FB NM FLOOR BOX KRALOY</t>
  </si>
  <si>
    <t>078CI</t>
  </si>
  <si>
    <t>AFMC PVC METAL COV. ADPT KIT KRALOY</t>
  </si>
  <si>
    <t>078BO</t>
  </si>
  <si>
    <t>LRA-U PVC UNIVERSAL LEVELING RING ADPT KRALOY</t>
  </si>
  <si>
    <t>078BG</t>
  </si>
  <si>
    <t>FBS-KIT PVC FLOOR BOX ANDSTAND KIT KRALOY</t>
  </si>
  <si>
    <t>078BR</t>
  </si>
  <si>
    <t>FBKIT NM FLOOR BOX KIT KRALOY</t>
  </si>
  <si>
    <t>FBUDK PVC TRI-SERVICE UNIVERSAL DIVIDER KIT KRALOY</t>
  </si>
  <si>
    <t>078BT</t>
  </si>
  <si>
    <t>FBYC 3/4" PVC Y CONNECTORKRALOY</t>
  </si>
  <si>
    <t>078BU</t>
  </si>
  <si>
    <t>EPR25 1 1/4" EPR KIT FOR COND. REPAIR SCEPTER/KRALOY</t>
  </si>
  <si>
    <t>077PR</t>
  </si>
  <si>
    <t>EPR30 1 1/2" PVC EPR KIT FOR COND. REPAIR SCEPTER/KRALOY</t>
  </si>
  <si>
    <t>EPR35 2" PVC EPR KIT FOR COND. REPAIR SCEPTER/KRALOY</t>
  </si>
  <si>
    <t>EPR40 2 1/2" PVC EPR KIT FOR COND. REPAIR SCEPTER/KRALOY</t>
  </si>
  <si>
    <t>EPR45 3" PVC EPR KIT FOR COND. REPAIR SCEPTER/KRALOY</t>
  </si>
  <si>
    <t>EPR55 4" PVC EPR KIT FOR COND. REPAIR SCEPTER/KRALOY</t>
  </si>
  <si>
    <t>EPR60 5" EPR KIT FOR COND. REPAIR SCEPTER/KRALOY</t>
  </si>
  <si>
    <t>EPR65 6" EPR KIT FOR COND. REPAIR SCEPTER/KRALOY</t>
  </si>
  <si>
    <t>FBDRCB NM DUP. REC. COV. BROWN KRALOY</t>
  </si>
  <si>
    <t>078CJ</t>
  </si>
  <si>
    <t>FBDRCG NM DUP. REC. COV. GOLD KRALOY</t>
  </si>
  <si>
    <t>FBDRCGr PVC DUP. REC. FOR'F' BOX GREY KRALOY</t>
  </si>
  <si>
    <t>FBDRCA PVC DUP. REC. FOR 'F' BOX ALMOND KRALOY</t>
  </si>
  <si>
    <t>DFL-2 BRASS DUP. REC. COVER W/ DUAL FLIP LIDS SCEPTER/KRALOY</t>
  </si>
  <si>
    <t>078AX</t>
  </si>
  <si>
    <t>DFL-2-N BRASS/NICKEL PLA-TED DUP. REC. COVER W/ DUAL FLIP LIDS SCEPTER/K-RALOY</t>
  </si>
  <si>
    <t>078DN</t>
  </si>
  <si>
    <t>DSC BRASS DUP. REC. COVERSCREW PLUG OPENINGS SCEPTER/KRALOY</t>
  </si>
  <si>
    <t>DSC-N BRASS/NICKEL PLATEDDUP. REC. COVER SCREW PL-UG OPENINGS SCEPTER/KRAL-OY</t>
  </si>
  <si>
    <t>SSC BRASS SING. REC COV. SCREW PLUG OPENINGS SCEPTER/KRALOY</t>
  </si>
  <si>
    <t>SSC-N BRASS/NICKEL PLATEDSING. REC COV. SCREW PLUGOPENINGS SCEPTER/KRALOY</t>
  </si>
  <si>
    <t>DSC-P/C BRASS DUP. REC. DATA COM PLUGS KRALOY</t>
  </si>
  <si>
    <t>SSC-P/C BRASS SING. REC. DATA COM PLUGS KRALOY</t>
  </si>
  <si>
    <t>1"x90Dx18R PVC SWEEP SPxSP SCH40 SCEPTER/KRALOY</t>
  </si>
  <si>
    <t>068BX</t>
  </si>
  <si>
    <t>1"x45Dx18R PVC SWEEP SPxSP SCH40 SCEPTER/KRALOY</t>
  </si>
  <si>
    <t>1"x30Dx18R PVC SWEEP SPxSP SCH40 UL SCEPTER/KRALOY</t>
  </si>
  <si>
    <t>40S102218 1"x22 1/2Dx18R PVC SWEEP SPxSP SCH40 SCEPTER/KRALOY</t>
  </si>
  <si>
    <t>1 1/4"x90Dx18R PVC SWEEP SPxSP SCH40 SCEPTER/KRALOY</t>
  </si>
  <si>
    <t>1 1/4"x45Dx18R PVC SWEEP SPxSP SCH40 UL SCEPTER/KRALOY</t>
  </si>
  <si>
    <t>1 1/4"x30Dx18R PVC SWEEP SPxSP SCH40 SCEPTER/KRALOY</t>
  </si>
  <si>
    <t>1 1/4"x22 1/2Dx18R PVC SWEEP SCH40 SCEPTER/KRALOY</t>
  </si>
  <si>
    <t>1 1/2"x90Dx18R PVC SWEEP SPxSP SCH40 SCEPTER/KRALOY</t>
  </si>
  <si>
    <t>1 1/2"x45Dx18R PVC SWEEP SPxSP SCH40 UL SCEPTER/KRALOY</t>
  </si>
  <si>
    <t>1 1/2"x30Dx18R PVC SWEEP SPxSP SCH40 SCEPTER/KRALOY</t>
  </si>
  <si>
    <t>1 1/2"x22 1/2Dx18R PVC SWEEP SPxSP SCH40 SCEPTER/KRALOY</t>
  </si>
  <si>
    <t>2"x90Dx18R PVC SWEEP SPxSP SCH40 SCEPTER/KRALOY</t>
  </si>
  <si>
    <t>2"x45Dx18R PVC SWEEP SPxSP SCH40 SCEPTER/KRALOY</t>
  </si>
  <si>
    <t>2"x30Dx18R PVC SWEEP SPxSP SCH40 SCEPTER/KRALOY</t>
  </si>
  <si>
    <t>2"x22 1/2Dx18R PVC SWEEP SPxSP SCH40 SCEPTER/KRALOY</t>
  </si>
  <si>
    <t>2 1/2"x90Dx18R PVC SWEEP SPxSP SCH40 SCEPTER/KRALOY</t>
  </si>
  <si>
    <t>2 1/2"x45Dx18R PVC SWEEP SPxSP SCH40 UL SCEPTER/KRALOY</t>
  </si>
  <si>
    <t>2 1/2"x30Dx18R PVC SWEEP SPxSP SCH40 SCEPTER/KRALOY</t>
  </si>
  <si>
    <t>2 1/2"x22 1/2Dx18R PVC SWEEP SPxSP SCH40 SCEPTER/KRALOY</t>
  </si>
  <si>
    <t>3"x90Dx18R PVC SWEEP SPxSP SCH40 SCEPTER/KRALOY</t>
  </si>
  <si>
    <t>3"x45Dx18R PVC SWEEP SPxSP SCH40 SCEPTER/KRALOY</t>
  </si>
  <si>
    <t>3"x30Dx18R PVC SWEEP SPxSP SCH40 UL SCEPTER/KRALOY</t>
  </si>
  <si>
    <t>3"x22 1/2Dx18R PVC SWEEP SPxSP SCH40 SCEPTER/KRALOY</t>
  </si>
  <si>
    <t>1"x90Dx24R PVC SWEEP SPxSP SCH40 SCEPTER/KRALOY</t>
  </si>
  <si>
    <t>1"x45Dx24R PVC SWEEP SPxSP SCH40 SCEPTER/KRALOY</t>
  </si>
  <si>
    <t>1"x30Dx24R PVC SWEEP SPxSP SCH40 UL SCEPTER/KRALOY</t>
  </si>
  <si>
    <t>1"x22 1/2Dx24R PVC SWEEP SPxSP SCH40 UL SCEPTER/KRALOY</t>
  </si>
  <si>
    <t>1 1/4"x90Dx24R PVC SWEEP SPxSP SCH40 SCEPTER/KRALOY</t>
  </si>
  <si>
    <t>1 1/4"x45Dx24R PVC SWEEP SPxSP SCH40 UL SCEPTER/KRALOY</t>
  </si>
  <si>
    <t>1 1/4"x30Dx24R PVC SWEEP SPxSP SCH40 UL SCEPTER/KRALOY</t>
  </si>
  <si>
    <t>40S122224 1 1/4"x22 1/2Dx24R PVC SWEEP SPxSP SCH40SCEPTER/KRALOY</t>
  </si>
  <si>
    <t>1 1/2"x90Dx24R PVC SWEEP SPxSP SCH40 SCEPTER/KRALOY</t>
  </si>
  <si>
    <t>40S154524 1 1/2"x45Dx24R PVC SWEEP SPxSP SCH40 UL SCEPTER/KRALOY</t>
  </si>
  <si>
    <t>1 1/2"x30Dx24R PVC SWEEP SPxSP SCH40 UL SCEPTER/KRALOY</t>
  </si>
  <si>
    <t>40S152224 1 1/2"x22 1/2Dx24R PVC SWEEP SPxSP SCH40SCEPTER/KRALOY</t>
  </si>
  <si>
    <t>2"x90Dx24R PVC SWEEP SPxSP SCH40 SCEPTER/KRALOY</t>
  </si>
  <si>
    <t>2"x45Dx24R PVC SWEEP SPxSP SCH40 SCEPTER/KRALOY</t>
  </si>
  <si>
    <t>2"x30Dx24R PVC SWEEP SPxSP SCH40 SCEPTER/KRALOY</t>
  </si>
  <si>
    <t>2"x22 1/2Dx24R PVC SWEEP SPxSP SCH40 SCEPTER/KRALOY</t>
  </si>
  <si>
    <t>2 1/2"x90Dx24R PVC SWEEP SPxSP SCH40 SCEPTER/KRALOY</t>
  </si>
  <si>
    <t>2 1/2"x45Dx24R PVC SWEEP SPxSP SCH40 SCEPTER/KRALOY</t>
  </si>
  <si>
    <t>2 1/2"x30Dx24R PVC SWEEP SPxSP SCH40 UL SCEPTER/KRALOY</t>
  </si>
  <si>
    <t>40S252224 2 1/2"x22 1/2Dx24R PVC SWEEP SPxSP SCH40KRALOY</t>
  </si>
  <si>
    <t>3"x90Dx24R PVC SWEEP SPxSP SCH40 SCEPTER/KRALOY</t>
  </si>
  <si>
    <t>3"x45Dx24R PVC SWEEP SPxSP SCH40 SCEPTER/KRALOY</t>
  </si>
  <si>
    <t>3"x30Dx24R PVC SWEEP SPxSP SCH40 SCEPTER/KRALOY</t>
  </si>
  <si>
    <t>3"x22 1/2Dx24R PVC SWEEP SPxSP SCH40 SCEPTER/KRALOY</t>
  </si>
  <si>
    <t>3 1/2"x90Dx24R PVC SWEEP SPxSP SCH40 SCEPTER/KRALOY</t>
  </si>
  <si>
    <t>3 1/2"x45Dx24R PVC SWEEP SPxSP UL SCEPTER/KRALOY</t>
  </si>
  <si>
    <t>3 1/2"x30Dx24R PVC SWEEP SPxSP SCH40 UL SCEPTER/KRALOY</t>
  </si>
  <si>
    <t>3 1/2"x22 1/2Dx24R PVC SWEEP BxSP SCH40 SCEPTER/KRALOY</t>
  </si>
  <si>
    <t>4"x90Dx24R PVC SWEEP SPxSP SCH40 SCEPTER/KRALOY</t>
  </si>
  <si>
    <t>4"x45Dx24R PVC SWEEP SPxSP SCH40 SCEPTER/KRALOY</t>
  </si>
  <si>
    <t>4"x30Dx24R PVC SWEEP SPxSP SCH40 SCEPTER/KRALOY</t>
  </si>
  <si>
    <t>4"x22 1/2Dx24R PVC SWEEP SPxSP SCH40 SCEPTER/KRALOY</t>
  </si>
  <si>
    <t>1"x90Dx30R SWEEP SPxSP SCH40 SCEPTER/KRALOY</t>
  </si>
  <si>
    <t>1"x45Dx30R PVC SWEEP SPxSP UL SCEPTER/KRALOY</t>
  </si>
  <si>
    <t>1"x30Dx30R PVC SWEEP SPxSP SCH40 UL SCEPTER/KRALOY</t>
  </si>
  <si>
    <t>1 1/4"x90Dx30R PVC SWEEP SPxSP SCH40 SCEPTER/KRALOY</t>
  </si>
  <si>
    <t>1 1/4"x45Dx30R PVC SWEEP SPxSP SCH40 UL SCEPTER/KRALOY</t>
  </si>
  <si>
    <t>1 1/4"x30Dx30R PVC SWEEP SPxSP SCH40 UL SCEPTER/KRALOY</t>
  </si>
  <si>
    <t>1 1/2"x90Dx30R PVC SWEEP SPxSP SCH40 SCEPTER/KRALOY</t>
  </si>
  <si>
    <t>1 1/2"x45Dx30R PVC SWEEP SPxSP SCH40 UL SCEPTER/KRALOY</t>
  </si>
  <si>
    <t>1 1/2"x30Dx30R PVC SWEEP SPxSP SCH40 UL SCEPTER/KRALOY</t>
  </si>
  <si>
    <t>2"x90Dx30R PVC SWEEP SPxSP SCH40 SCEPTER/KRALOY</t>
  </si>
  <si>
    <t>2"x45Dx30R PVC STD ELBOW SPxSP UL SCEPTER/KRALOY</t>
  </si>
  <si>
    <t>2"x30Dx30R PVC SWEEP SPxSP SCEPTER/KRALOY</t>
  </si>
  <si>
    <t>2 1/2"x90Dx30R PVC SWEEP SPxSP SCH40 SCEPTER/KRALOY</t>
  </si>
  <si>
    <t>2 1/2"x45Dx30R PVC SWEEP SPxSP SCH40 UL SCEPTER/KRALOY</t>
  </si>
  <si>
    <t>2 1/2"x30Dx30R PVC SWEEP SPxSP SCH40 UL SCEPTER/KRALOY</t>
  </si>
  <si>
    <t>3"x90Dx30R PVC SWEEP SPxSP SCH40 SCEPTER/KRALOY</t>
  </si>
  <si>
    <t>3"x45Dx30R PVC SWEEP SPxSP SCH40 SCEPTER/KRALOY</t>
  </si>
  <si>
    <t>3"x30Dx30R PVC SWEEP SPxSP SCH40 UL SCEPTER/KRALOY</t>
  </si>
  <si>
    <t>3 1/2"x90Dx30R PVC SWEEP SPxSP SCH40 SCEPTER/KRALOY</t>
  </si>
  <si>
    <t>3 1/2"x45Dx30R PVC SWEEP SPxSP SCH40 UL SCEPTER/KRALOY</t>
  </si>
  <si>
    <t>3 1/2"x30Dx30R PVC SWEEP SPxSP SCH40 UL SCEPTER/KRALOY</t>
  </si>
  <si>
    <t>4"x90Dx30R PVC SWEEP SPxSP SCH40 SCEPTER/KRALOY</t>
  </si>
  <si>
    <t>4"x45Dx30R PVC SWEEP SPxSP SCH40 SCEPTER/KRALOY</t>
  </si>
  <si>
    <t>4"x30Dx30R PVC SWEEP SPxSP SCH40 UL SCEPTER/KRALOY</t>
  </si>
  <si>
    <t>4"x22 1/2Dx30R PVC SWEEP SPxSP SCH40 SCEPTER/KRALOY</t>
  </si>
  <si>
    <t>5"x90Dx30R PVC SWEEP SPxSP SCH40 SCEPTER/KRALOY</t>
  </si>
  <si>
    <t>40S504530 5"x45Dx30R PVC SWEEP SPxSP SCH40 SCEPTER/KRALOY</t>
  </si>
  <si>
    <t>5"x30Dx30R PVC SWEEP SPxSP SCH40 SCEPTER/KRALOY</t>
  </si>
  <si>
    <t>5"x22 1/2Dx30R PVC SWEEP SPxSP SCH40 SCEPTER/KRALOY</t>
  </si>
  <si>
    <t>1"x90Dx36R PVC SWEEP SPxSP SCH40 SCEPTER/KRALOY</t>
  </si>
  <si>
    <t>1"x45Dx36R PVC SWEEP SPxSP SCH40 SCEPTER/KRALOY</t>
  </si>
  <si>
    <t>1"x30Dx36R PVC SWEEP SPxSP SCH40 UL SCEPTER/KRALOY</t>
  </si>
  <si>
    <t>1"x22 1/2Dx36R PVC SWEEP SPxSP SCH40 SCEPTER/KRALOY</t>
  </si>
  <si>
    <t>1 1/4"x90Dx36R PVC SWEEP SPxSP SCH40 SCEPTER/KRALOY</t>
  </si>
  <si>
    <t>1 1/4"x45Dx36R PVC SWEEP SPxSP SCH40 SCEPTER/KRALOY</t>
  </si>
  <si>
    <t>1 1/4"x30Dx36R PVC SWEEP SPxSP SCH40 UL SCEPTER/KRALOY</t>
  </si>
  <si>
    <t>1 1/2"x90Dx36R PVC SWEEP SPxSP SCH40 SCEPTER/KRALOY</t>
  </si>
  <si>
    <t>1 1/2"x45Dx36R PVC SWEEP SCH40 UL SCEPTER/KRALOY</t>
  </si>
  <si>
    <t>1 1/2"x30Dx36R PVC SWEEP SPxSP SCH40 UL SCEPTER/KRALOY</t>
  </si>
  <si>
    <t>2"x90Dx36R PVC SWEEP SPxSP SCH40 SCEPTER/KRALOY</t>
  </si>
  <si>
    <t>2"x45Dx36R PVC SWEEP SPxSP SCH40 SCEPTER/KRALOY</t>
  </si>
  <si>
    <t>2"x30Dx36R PVC SWEEP SPxSP SCH40 SCEPTER/KRALOY</t>
  </si>
  <si>
    <t>2"x22 1/2Dx36R PVC SWEEP SPxSP SCH40 SCEPTER/KRALOY</t>
  </si>
  <si>
    <t>2 1/2"x90Dx36R PVC SWEEP SPxSP SCH40 SCEPTER/KRALOY</t>
  </si>
  <si>
    <t>2 1/2"x45Dx36R PVC SWEEP SPxSP SCH40 SCEPTER/KRALOY</t>
  </si>
  <si>
    <t>2 1/2"x30Dx36R PVC SWEEP SPxSP SCH40 UL SCEPTER/KRALOY</t>
  </si>
  <si>
    <t>40S252236 2 1/2"x22 1/2Dx36R PVC SWEEP SPxSP SCH40SCEPTER/KRALOY</t>
  </si>
  <si>
    <t>3"x90Dx36R PVC SWEEP SPxSP SCH40 SCEPTER/KRALOY</t>
  </si>
  <si>
    <t>3"x45Dx36R PVC SWEEP SPxSP SCH40 SCEPTER/KRALOY</t>
  </si>
  <si>
    <t>3"x30Dx36R PVC SWEEP SPxSP SCH40 SCEPTER/KRALOY</t>
  </si>
  <si>
    <t>3"x22 1/2Dx36R PVC SWEEP SPxSP SCH40 SCEPTER/KRALOY</t>
  </si>
  <si>
    <t>3 1/2"x90Dx36R PVC SWEEP SPxSP SCH40 SCEPTER/KRALOY</t>
  </si>
  <si>
    <t>3 1/2"x45Dx36R PVC SWEEP SPxSP SCH40 UL SCEPTER/KRALOY</t>
  </si>
  <si>
    <t>3 1/2"x30Dx36R PVC SWEEP SPxSP SCH40 UL SCEPTER/KRALOY</t>
  </si>
  <si>
    <t>4"x90Dx36R PVC SWEEP SPxSP SCH40 SCEPTER/KRALOY</t>
  </si>
  <si>
    <t>4"x45Dx36R PVC SWEEP SPxSP SCH40 SCEPTER/KRALOY</t>
  </si>
  <si>
    <t>4"x30Dx36R PVC SWEEP SPxSP SCH40 SCEPTER/KRALOY</t>
  </si>
  <si>
    <t>4"x22 1/2Dx36R PVC SWEEP SPxSP SCH40 SCEPTER/KRALOY</t>
  </si>
  <si>
    <t>5"x90Dx36R PVC SWEEP SPxSP SCH40 SCEPTER/KRALOY</t>
  </si>
  <si>
    <t>5"x45Dx36R PVC SWEEP SPxSP SCH40 SCEPTER/KRALOY</t>
  </si>
  <si>
    <t>5"x30Dx36R PVC SWEEP SPxSP SCH40 SCEPTER/KRALOY</t>
  </si>
  <si>
    <t>5"x22 1/2Dx36R PVC SWEEP SPxSP SCH40 SCEPTER/KRALOY</t>
  </si>
  <si>
    <t>6"x90Dx36R PVC SWEEP SPxSP SCH40 SCEPTER/KRALOY</t>
  </si>
  <si>
    <t>6"x45Dx36R PVC SWEEP SPxSP SCH40 SCEPTER/KRALOY</t>
  </si>
  <si>
    <t>6"x30Dx36R PVC SWEEP SPxSP SCH40 SCEPTER/KRALOY</t>
  </si>
  <si>
    <t>6"x22 1/2Dx36R PVC SWEEP SPxSP SCH40 SCEPTER/KRALOY</t>
  </si>
  <si>
    <t>1"x90Dx48R PVC SWEEP SPxSP SCH40 SCEPTER/KRALOY</t>
  </si>
  <si>
    <t>1"x45Dx48R PVC SWEEP SPxSP SCH40 UL SCEPTER/KRALOY</t>
  </si>
  <si>
    <t>1"x30Dx48R PVC SWEEP SPxSP SCH40 UL SCEPTER/KRALOY</t>
  </si>
  <si>
    <t>1 1/4"x90Dx48R PVC SWEEP SPxSP SCH40 UL SCEPTER/KRALOY</t>
  </si>
  <si>
    <t>1 1/4"x45Dx48R PVC SWEEP SPxSP SCH40 UL SCEPTER/KRALOY</t>
  </si>
  <si>
    <t>1 1/4"x30Dx48R PVC SWEEP SPxSP SCH40 UL SCEPTER/KRALOY</t>
  </si>
  <si>
    <t>1 1/2"x90Dx48R PVC SWEEP SPxSP SCH40 SCEPTER/KRALOY</t>
  </si>
  <si>
    <t>1 1/2"x45Dx48R PVC SWEEP SPxSP SCH40 UL SCEPTER/KRALOY</t>
  </si>
  <si>
    <t>1 1/2"x30Dx48R PVC SWEEP SPxSP SCH40 UL SCEPTER/KRALOY</t>
  </si>
  <si>
    <t>2"x90Dx48R PVC SWEEP SPxSP SCH40 SCEPTER/KRALOY</t>
  </si>
  <si>
    <t>2"x45Dx48R PVC SWEEP SPxSP SCH40 SCEPTER/KRALOY</t>
  </si>
  <si>
    <t>2"x30Dx48R PVC SWEEP SPxSP SCH40 UL SCEPTER/KRALOY</t>
  </si>
  <si>
    <t>2"x22 1/2Dx48R PVC SWEEP SPxSP SCH40 SCEPTER/KRALOY</t>
  </si>
  <si>
    <t>068BW</t>
  </si>
  <si>
    <t>2 1/2"x90Dx48R PVC SWEEP SPxSP SCH40 SCEPTER/KRALOY</t>
  </si>
  <si>
    <t>2 1/2"x45Dx48R PVC SWEEP SPxSP SCH40 SCEPTER/KRALOY</t>
  </si>
  <si>
    <t>2 1/2"x30Dx48R PVC SWEEP SPxSP SCH40 UL SCEPTER/KRALOY</t>
  </si>
  <si>
    <t>3"x90Dx48R PVC SWEEP SPxSP SCH40 SCEPTER/KRALOY</t>
  </si>
  <si>
    <t>3"x45Dx48R PVC SWEEP SPxSP SCH40 SCEPTER/KRALOY</t>
  </si>
  <si>
    <t>3"x30Dx48R PVC SWEEP SPxSP SCH40 SCEPTER/KRALOY</t>
  </si>
  <si>
    <t>3"x22 1/2Dx48R PVC SWEEP SPxSP SCH40 SCEPTER/KRALOY</t>
  </si>
  <si>
    <t>3 1/2"x90Dx48R PVC SWEEP SPxSP SCH40 SCEPTER/KRALOY</t>
  </si>
  <si>
    <t>3 1/2"x45Dx48R PVC SWEEP SPxSP SCH40 SCEPTER/KRALOY</t>
  </si>
  <si>
    <t>3 1/2"x30Dx48R PVC SWEEP SPxSP SCH40 UL SCEPTER/KRALOY</t>
  </si>
  <si>
    <t>4"x90Dx48R PVC SWEEP SPxSP SCH40 SCEPTER/KRALOY</t>
  </si>
  <si>
    <t>4"x45Dx48R PVC SWEEP SPxSP SCH40 SCEPTER/KRALOY</t>
  </si>
  <si>
    <t>4"x30Dx48R PVC SWEEP SPxSP SCH40 SCEPTER/KRALOY</t>
  </si>
  <si>
    <t>4"x22 1/2Dx48R PVC SWEEP SPxSP SCH40 SCEPTER/KRALOY</t>
  </si>
  <si>
    <t>5"x90Dx48R PVC SWEEP SPxSP SCH40 SCEPTER/KRALOY</t>
  </si>
  <si>
    <t>5"x45Dx48R PVC SWEEP SPxSP SCH40 SCEPTER/KRALOY</t>
  </si>
  <si>
    <t>5"x30Dx48R PVC SWEEP SPxSP SCH40 SCEPTER/KRALOY</t>
  </si>
  <si>
    <t>40S502248 5"x22 1/2Dx48R PVC SWEEP SPxSP SCH40 KRALOY</t>
  </si>
  <si>
    <t>6"x90Dx48R PVC SWEEP SPxSP SCH40 SCEPTER/KRALOY</t>
  </si>
  <si>
    <t>6"x45Dx48R PVC SWEEP SPxSP SCH40 SCEPTER/KRALOY</t>
  </si>
  <si>
    <t>6"x30Dx48R PVC SWEEP SPxSP SCH40 SCEPTER/KRALOY</t>
  </si>
  <si>
    <t>6"x22 1/2Dx48R PVC SWEEP SPxSP SCH40 SCEPTER/KRALOY</t>
  </si>
  <si>
    <t>8"x90Dx48R PVC SWEEP SPxSP SCH40 SCEPTER/KRALOY</t>
  </si>
  <si>
    <t>8"x45Dx48R PVC SWEEP SPxSP SCH40 SCEPTER/KRALOY</t>
  </si>
  <si>
    <t>8"x22 1/2Dx48R PVC SWEEP SPxSP SCH40 SCEPTER/KRALOY</t>
  </si>
  <si>
    <t>8"x11 1/4Dx48R PVC SWEEP SPxSP SCH40 SCEPTER/KRALOY</t>
  </si>
  <si>
    <t>2"x90Dx60R PVC SWEEP SPxSP SCH40 SCEPTER/KRALOY</t>
  </si>
  <si>
    <t>2 1/2"x90Dx60R PVC SWEEP SPxSP SCH40 KRALOY</t>
  </si>
  <si>
    <t>3"x90Dx60R PVC SWEEP SPxSP SCH40 SCEPTER/KRALOY</t>
  </si>
  <si>
    <t>4"x90Dx60R PVC SWEEP SPxSP SCH40 SCEPTER/KRALOY</t>
  </si>
  <si>
    <t>4"x45Dx60R PVC SWEEP SPxSP SCH40 KRALOY</t>
  </si>
  <si>
    <t>4"x22 1/2Dx60R PVC SWEEP SPxSP SCH40 SCEPTER/KRALOY</t>
  </si>
  <si>
    <t>5"x90Dx60R PVC SWEEP SPxSP SCH40 SCEPTER/KRALOY</t>
  </si>
  <si>
    <t>40S504560 5"x45Dx60R PVC SWEEP SPxSP SCH40 SCEPTER/KRALOY</t>
  </si>
  <si>
    <t>5"x30Dx60R PVC SWEEP SPxSP SCH40 SCEPTER/KRALOY</t>
  </si>
  <si>
    <t>40S609060 6"x90Dx60R PVC SWEEP SPxSP SCH40 KRALOY</t>
  </si>
  <si>
    <t>6"x45Dx60R PVC SWEEP SPxSP SCH40 SCEPTER/KRALOY</t>
  </si>
  <si>
    <t>6"x30Dx60R PVC SWEEP SPxSP SCH40 KRALOY</t>
  </si>
  <si>
    <t>6"x22 1/2Dx60R PVC SWEEP SPxSP SCH40 SCEPTER/KRALOY</t>
  </si>
  <si>
    <t>2"x90Dx18R PVC SWEEP BxSPSCH40 SCEPTER/KRALOY</t>
  </si>
  <si>
    <t>068CW</t>
  </si>
  <si>
    <t>2"x45Dx18R PVC SWEEP BxSPSCH40 SCEPTER/KRALOY</t>
  </si>
  <si>
    <t>2 1/2"x90Dx18R PVC SWEEP SPxBE SCH40 SCEPTER/KRALOY</t>
  </si>
  <si>
    <t>2 1/2"x45Dx18R PVC SWEEP BxSP SCH40 SCEPTER/KRALOY</t>
  </si>
  <si>
    <t>3"x90Dx18R PVC SWEEP BxSPSCH40 SCEPTER/KRALOY</t>
  </si>
  <si>
    <t>3"x45Dx18R PVC SWEEP BxSPSCH40 SCEPTER/KRALOY</t>
  </si>
  <si>
    <t>2"x90Dx24R PVC SWEEP SPxBE SCH40 SCEPTER/KRALOY</t>
  </si>
  <si>
    <t>2"x45Dx24R PVC SWEEP BxSPSCH40 SCEPTER/KRALOY</t>
  </si>
  <si>
    <t>2 1/2"x90Dx24R PVC SWEEP SPxBE SCH40 SCEPTER/KRALOY</t>
  </si>
  <si>
    <t>2 1/2"x45Dx24R PVC SWEEP SPxBE SCH40 SCEPTER/KRALOY</t>
  </si>
  <si>
    <t>3"x90Dx24R PVC SWEEP SPxBE SCH40 SCEPTER/KRALOY</t>
  </si>
  <si>
    <t>3"x45Dx24R PVC SWEEP SPxBE SCH40 SCEPTER/KRALOY</t>
  </si>
  <si>
    <t>3 1/2"x90Dx24R PVC SWEEP BxSP SCH40 SCEPTER/KRALOY</t>
  </si>
  <si>
    <t>3 1/2"x45Dx24R PVC SWEEP BxSP SCH40 SCEPTER/KRALOY</t>
  </si>
  <si>
    <t>4"x90Dx24R PVC SWEEP SPxBE SCH40 SCEPTER/KRALOY</t>
  </si>
  <si>
    <t>B40S404524 4"x45Dx24R PVCSWEEP SPxBE SCH40 KRALOY</t>
  </si>
  <si>
    <t>078CW</t>
  </si>
  <si>
    <t>2"x90Dx36R PVC SWEEP SPxBE SCH40 SCEPTER/KRALOY</t>
  </si>
  <si>
    <t>2"x45Dx36R PVC SWEEP SPxBE SCH40 SCEPTER/KRALOY</t>
  </si>
  <si>
    <t>2 1/2"x90Dx36R PVC SWEEP SPxBE SCH40 SCEPTER/KRALOY</t>
  </si>
  <si>
    <t>B40S254536 2 1/2"x45Dx36RPVC SWEEP SPxBE SCH40 KRALOY</t>
  </si>
  <si>
    <t>3"x90Dx36R PVC SWEEP SPxBE SCH40 SCEPTER/KRALOY</t>
  </si>
  <si>
    <t>B40S304536 3"x45Dx36R PVCSWEEP SPxBE SCH40 KRALOY</t>
  </si>
  <si>
    <t>3 1/2"x90Dx36R PVC SWEEP BxSP SCH40 SCEPTER/KRALOY</t>
  </si>
  <si>
    <t>3 1/2"x45Dx36R PVC SWEEP BxSP SCH40 SCEPTER/KRALOY</t>
  </si>
  <si>
    <t>4"x90Dx36R PVC SWEEP SPxBE SCH40 SCEPTER/KRALOY</t>
  </si>
  <si>
    <t>4"x45Dx36R PVC SWEEP SPxBE SCH40 SCEPTER/KRALOY</t>
  </si>
  <si>
    <t>5"x90Dx36R PVC SWEEP SPxBE SCH40 SCEPTER/KRALOY</t>
  </si>
  <si>
    <t>5"x45Dx36R PVC SWEEP BxSPSCH40 SCEPTER/KRALOY</t>
  </si>
  <si>
    <t>6"x90Dx36R PVC SWEEP SPxBE SCH40 SCEPTER/KRALOY</t>
  </si>
  <si>
    <t>6"x45Dx36R PVC SWEEP BxSPSCH40 SCEPTER/KRALOY</t>
  </si>
  <si>
    <t>2"x90Dx48R PVC SWEEP SPxBE SCH40 SCEPTER/KRALOY</t>
  </si>
  <si>
    <t>2"x45Dx48R PVC SWEEP BxSPSCH40 SCEPTER/KRALOY</t>
  </si>
  <si>
    <t>2 1/2"x90Dx48R PVC SWEEP SPxBE SCH40 SCEPTER/KRALOY</t>
  </si>
  <si>
    <t>2 1/2"x45Dx48R PVC SWEEP BxSP SCH40 SCEPTER/KRALOY</t>
  </si>
  <si>
    <t>3"x90Dx48R PVC SWEEP SPxBE SCH40 SCEPTER/KRALOY</t>
  </si>
  <si>
    <t>3"x45Dx48R PVC SWEEP BxSPSCH40 SCEPTER/KRALOY</t>
  </si>
  <si>
    <t>3 1/2"x90Dx48R PVC SWEEP BxSP SCH40 SCEPTER/KRALOY</t>
  </si>
  <si>
    <t>3 1/2"x45Dx48R PVC SWEEP BxSP SCH40 SCEPTER/KRALOY</t>
  </si>
  <si>
    <t>4"x90Dx48R PVC SWEEP SPxBE SCH40 SCEPTER/KRALOY</t>
  </si>
  <si>
    <t>4"x45Dx48R PVC SWEEP BxSPSCH40 FAB SCEPTER/KRALOY</t>
  </si>
  <si>
    <t>5"x90Dx48R PVC SWEEP SPxBE SCH40 SCEPTER/KRALOY</t>
  </si>
  <si>
    <t>5"x45Dx48R PVC SWEEP BxSPSCH40 SCEPTER/KRALOY</t>
  </si>
  <si>
    <t>6"x90Dx48R PVC SWEEP SPxBE SCH40 SCEPTER/KRALOY</t>
  </si>
  <si>
    <t>6"x45Dx48R PVC SWEEP BxSPSCH40 SCEPTER/KRALOY</t>
  </si>
  <si>
    <t>1"x90Dx18R PVC SWEEP SPxSP SCH80 SCEPTER/KRALOY</t>
  </si>
  <si>
    <t>068BY</t>
  </si>
  <si>
    <t>1 1/4"x90Dx18R PVC SWEEP SPxSP SCH80 SCEPTER/KRALOY</t>
  </si>
  <si>
    <t>1 1/2"x90Dx18R PVC SWEEP SPxSP SCH80 SCEPTER/KRALOY</t>
  </si>
  <si>
    <t>1-1/2"45X18 SCH80 ELL</t>
  </si>
  <si>
    <t>2"x90Dx18R PVC SWEEP SPxSP SCH80 SCEPTER/KRALOY</t>
  </si>
  <si>
    <t>2 1/2"x90Dx18R PVC SWEEP SPxSP SCH80 SCEPTER/KRALOY</t>
  </si>
  <si>
    <t>3"x90Dx18R PVC SWEEP SPxSP SCH80 SCEPTER/KRALOY</t>
  </si>
  <si>
    <t>4"x90Dx18R PVC SWEEP SPxSP SCH80 SCEPTER/KRALOY</t>
  </si>
  <si>
    <t>1"x90Dx24R PVC SWEEP SPxSP SCH80 SCEPTER/KRALOY</t>
  </si>
  <si>
    <t>1 1/4"x90Dx24R PVC SWEEP SPxSP SCH80 SCEPTER/KRALOY</t>
  </si>
  <si>
    <t>80S159024 1 1/2"x90Dx24R PVC SWEEP SPxSP SCH80 KRALOY</t>
  </si>
  <si>
    <t>80S154524 1 1/2"x45Dx24R PVC SWEEP SPxSP SCH80 UL SCEPTER/KRALOY</t>
  </si>
  <si>
    <t>2"x90Dx24R PVC SWEEP SPxSP SCH80 SCEPTER/KRALOY</t>
  </si>
  <si>
    <t>2"x45Dx24R PVC SWEEP SPxSP SCH80 SCEPTER/KRALOY</t>
  </si>
  <si>
    <t>2 1/2"x90Dx24R PVC SWEEP SPxSP SCH80 SCEPTER/KRALOY</t>
  </si>
  <si>
    <t>2 1/2"x45Dx24R PVC SWEEP SPxSP SCH80 SCEPTER/KRALOY</t>
  </si>
  <si>
    <t>3"x90Dx24R PVC SWEEP SPxSP SCH80 SCEPTER/KRALOY</t>
  </si>
  <si>
    <t>3"x45Dx24R PVC SWEEP SPxSP SCH80 SCEPTER/KRALOY</t>
  </si>
  <si>
    <t>4"x90Dx24R PVC SWEEP SPxSP SCH80 SCEPTER/KRALOY</t>
  </si>
  <si>
    <t>4"x45Dx24R PVC SWEEP SPxSP SCH80 SCEPTER/KRALOY</t>
  </si>
  <si>
    <t>2"x90Dx30R PVC SWEEP SPxSP SCH80 KRALOY</t>
  </si>
  <si>
    <t>2 1/2"x90Dx30R PVC SWEEP SPxSP SCH80 SCEPTER/KRALOY</t>
  </si>
  <si>
    <t>3"x90Dx30R PVC SWEEP SPxSP SCH80 SCEPTER/KRALOY</t>
  </si>
  <si>
    <t>4"x90Dx30R PVC SWEEP SPxSP SCH80 SCEPTER/KRALOY</t>
  </si>
  <si>
    <t>5"x90Dx30R PVC SWEEP SPxSP SCH80 SCEPTER/KRALOY</t>
  </si>
  <si>
    <t>1"x90Dx36R PVC SWEEP SPxSP SCH80 SCEPTER/KRALOY</t>
  </si>
  <si>
    <t>1 1/2"x90Dx36R PVC SWEEP SPxSP SCH80 SCEPTER/KRALOY</t>
  </si>
  <si>
    <t>2"x90Dx36R PVC SWEEP SPxSP SCH80 SCEPTER/KRALOY</t>
  </si>
  <si>
    <t>2"x45Dx36R PVC SWEEP SPxSP SCH80 SCEPTER/KRALOY</t>
  </si>
  <si>
    <t>2 1/2"x90Dx36R PVC SWEEP SPxSP SCH80 SCEPTER/KRALOY</t>
  </si>
  <si>
    <t>2 1/2"x45Dx36R PVC SWEEP SPxSP SCH80 SCEPTER/KRALOY</t>
  </si>
  <si>
    <t>3"x90Dx36R PVC SWEEP SPxSP SCH80 SCEPTER/KRALOY</t>
  </si>
  <si>
    <t>3"x45Dx36R PVC SWEEP SPxSP SCH80 SCEPTER/KRALOY</t>
  </si>
  <si>
    <t>4"x90Dx36R PVC SWEEP SPxSP SCH80 SCEPTER/KRALOY</t>
  </si>
  <si>
    <t>4"x45Dx36R PVC SWEEP SPxSP SCH80 SCEPTER/KRALOY</t>
  </si>
  <si>
    <t>5"x90Dx36R PVC SWEEP SPxSP SCH80 SCEPTER/KRALOY</t>
  </si>
  <si>
    <t>5"x45Dx36R PVC SWEEP SPxSP SCH80 SCEPTER/KRALOY</t>
  </si>
  <si>
    <t>6"x90Dx36R PVC SWEEP SPxSP SCH80 SCEPTER/KRALOY</t>
  </si>
  <si>
    <t>6"x45Dx36R PVC SWEEP SPxSP SCH80 SCEPTER/KRALOY</t>
  </si>
  <si>
    <t>1"x90Dx48R PVC SWEEP SPxSP SCH80 SCEPTER/KRALOY</t>
  </si>
  <si>
    <t>1 1/4"x90Dx48R PVC SWEEP SPxSP SCH80 SCEPTER/KRALOY</t>
  </si>
  <si>
    <t>1 1/2"x90Dx48R PVC SWEEP SPxSP SCH80 SCEPTER/KRALOY</t>
  </si>
  <si>
    <t>2"x90Dx48R PVC SWEEP SPxSP SCH80 SCEPTER/KRALOY</t>
  </si>
  <si>
    <t>2"x45Dx48R PVC SWEEP SPxSP SCH80 SCEPTER/KRALOY</t>
  </si>
  <si>
    <t>2 1/2"x90Dx48R PVC SWEEP SPxSP SCH80 SCEPTER/KRALOY</t>
  </si>
  <si>
    <t>3"x90Dx48R PVC SWEEP SPxSP SCH80 SCEPTER/KRALOY</t>
  </si>
  <si>
    <t>4"x90Dx48R PVC SWEEP SPxSP SCH80 SCEPTER/KRALOY</t>
  </si>
  <si>
    <t>80S404548 4"x45Dx48R PVC SWEEP SPxSP SCH80 KRALOY</t>
  </si>
  <si>
    <t>5"x90Dx48R PVC SWEEP SPxSP SCH80 SCEPTER/KRALOY</t>
  </si>
  <si>
    <t>5"x45Dx48R PVC SWEEP SPxSP SCH80 SCEPTER/KRALOY</t>
  </si>
  <si>
    <t>6"x90Dx48R PVC SWEEP SPxSP SCH80 SCEPTER/KRALOY</t>
  </si>
  <si>
    <t>6"x45Dx48R PVC SWEEP SPxSP SCH80 SCEPTER/KRALOY</t>
  </si>
  <si>
    <t>2"x90Dx18R PVC SWEEP SPxBE DB60 SUPERDUCT</t>
  </si>
  <si>
    <t>029CL</t>
  </si>
  <si>
    <t>2"x45Dx18R PVC SWEEP BxSPDB60 SUPERDUCT</t>
  </si>
  <si>
    <t>2"x30Dx18R PVC SWEEP BxSPDB60 SUPERDUCT</t>
  </si>
  <si>
    <t>2"x22 1/2Dx18R PVC SWEEP BxSP DB60 SUPERDUCT</t>
  </si>
  <si>
    <t>2"x11 1/4Dx18R PVC SWEEP BxSP DB60 SUPERDUCT</t>
  </si>
  <si>
    <t>3"x90Dx18R PVC SWEEP SPxBE DB60 SUPERDUCT</t>
  </si>
  <si>
    <t>3"x45Dx18R PVC SWEEP BxSPDB60 SUPERDUCT</t>
  </si>
  <si>
    <t>3"x30Dx18R PVC SWEEP BxSPDB60 SUPERDUCT</t>
  </si>
  <si>
    <t>3"x11 1/4Dx18R PVC SWEEP BxSP DB60 SUPERDUCT</t>
  </si>
  <si>
    <t>4"x90Dx18R PVC SWEEP SPxBE DB60 SUPERDUCT</t>
  </si>
  <si>
    <t>4"x45Dx18R PVC STD ELBOW SPxBE DB60 SUPERDUCT</t>
  </si>
  <si>
    <t>4"x30Dx18R PVC SWEEP SPxBE DB60 SUPERDUCT</t>
  </si>
  <si>
    <t>4"x22 1/2Dx18R PVC SWEEP SPxBE DB60 SUPERDUCT</t>
  </si>
  <si>
    <t>4"x11 1/4Dx18R PVC SWEEP BxSP DB60 SUPERDUCT</t>
  </si>
  <si>
    <t>2"x90Dx24R PVC SWEEP SPxBE DB60 SUPERDUCT</t>
  </si>
  <si>
    <t>2"x45Dx24R PVC SWEEP BxSPDB60 SUPERDUCT</t>
  </si>
  <si>
    <t>2"x30Dx24R PVC SWEEP BxSPDB60 SUPERDUCT</t>
  </si>
  <si>
    <t>2"x22 1/2Dx24R PVC SWEEP BxSP DB60 SUPERDUCT</t>
  </si>
  <si>
    <t>2"x11 1/4Dx24R PVC SWEEP BxSP DB60 SUPERDUCT</t>
  </si>
  <si>
    <t>3"x90Dx24R PVC SWEEP SPxBE DB60 SUPERDUCT</t>
  </si>
  <si>
    <t>3"x45Dx24R PVC SWEEP BxSPDB60 SUPERDUCT</t>
  </si>
  <si>
    <t>3"x30Dx24R PVC SWEEP BxSPDB60 SUPERDUCT</t>
  </si>
  <si>
    <t>3"x22 1/2Dx24R PVC SWEEP BxSP DB60 SUPERDUCT</t>
  </si>
  <si>
    <t>3"x11 1/4Dx24R PVC SWEEP BxSP DB60 SUPERDUCT</t>
  </si>
  <si>
    <t>4"x90Dx24R PVC SWEEP SPxBE DB60 SUPERDUCT</t>
  </si>
  <si>
    <t>4"x45Dx24R PVC SWEEP SPxBE DB60 SUPERDUCT</t>
  </si>
  <si>
    <t>4"x30Dx24R PVC SWEEP SPxBE DB60 SUPERDUCT</t>
  </si>
  <si>
    <t>4"x22 1/2Dx24R PVC SWEEP SPxBE DB60</t>
  </si>
  <si>
    <t>4"x11 1/4Dx24R PVC SWEEP SPxBE DB60 SUPERDUCT</t>
  </si>
  <si>
    <t>5"x90Dx24R PVC SWEEP SPxBE DB60 SUPERDUCT</t>
  </si>
  <si>
    <t>5"x45Dx24R PVC SWEEP SPxBE DB60 SUPERDUCT</t>
  </si>
  <si>
    <t>5"x30Dx24R PVC SWEEP BxSPDB60 SUPERDUCT</t>
  </si>
  <si>
    <t>5"x22 1/2Dx24R PVC SWEEP SPxBE DB60 SUPERDUCT</t>
  </si>
  <si>
    <t>5"x11 1/4Dx24R PVC SWEEP BxSP DB60 SUPERDUCT</t>
  </si>
  <si>
    <t>2"x90Dx36R PVC SWEEP SPxBE DB60 SUPERDUCT</t>
  </si>
  <si>
    <t>2"x45Dx36R PVC SWEEP BxSPDB60</t>
  </si>
  <si>
    <t>2"x30Dx36R PVC SWEEP BxSPDB60 SUPERDUCT</t>
  </si>
  <si>
    <t>2"x22 1/2Dx36R PVC SWEEP BxSP DB60 SUPERDUCT</t>
  </si>
  <si>
    <t>2"x11 1/4Dx36R PVC SWEEP BxSP DB60 SUPERDUCT</t>
  </si>
  <si>
    <t>3"x90Dx36R PVC SWEEP SPxBE DB60 SUPERDUCT</t>
  </si>
  <si>
    <t>3"x45Dx36R PVC SWEEP SPxBE DB60 SUPERDUCT</t>
  </si>
  <si>
    <t>3"x30Dx36R PVC SWEEP BxSPDB60 SUPERDUCT</t>
  </si>
  <si>
    <t>3"x22 1/2Dx36R PVC SWEEP SPxBE DB60 SUPERDUCT</t>
  </si>
  <si>
    <t>3"x11 1/4Dx36R PVC SWEEP SPxBE DB60 SUPERDUCT</t>
  </si>
  <si>
    <t>4"x90Dx36R PVC SWEEP SPxBE DB60 SUPERDUCT</t>
  </si>
  <si>
    <t>4"x45Dx36R PVC SWEEP SPxBE DB60 SUPERDUCT</t>
  </si>
  <si>
    <t>4"x30Dx36R PVC SWEEP SPxBE DB60 SUPERDUCT</t>
  </si>
  <si>
    <t>4"x22 1/2Dx36R PVC SWEEP SPxBE DB60 SUPERDUCT</t>
  </si>
  <si>
    <t>4"x11 1/4Dx36R PVC SWEEP SPxBE DB60 SUPERDUCT</t>
  </si>
  <si>
    <t>5"x90Dx36R PVC SWEEP SPxBE DB60 SUPERDUCT</t>
  </si>
  <si>
    <t>5"x45Dx36R PVC SWEEP SPxBE DB60 FAB</t>
  </si>
  <si>
    <t>5"x30Dx36R PVC SWEEP BxSPDB60</t>
  </si>
  <si>
    <t>5"x22 1/2Dx36R PVC SWEEP SPxBE DB60 SUPERDUCT</t>
  </si>
  <si>
    <t>5"x11 1/4Dx36R PVC SWEEP SPxBE DB60 SUPERDUCT</t>
  </si>
  <si>
    <t>6"x90Dx36R PVC SWEEP SPxBE DB60 SUPERDUCT</t>
  </si>
  <si>
    <t>6"x45Dx36R PVC SWEEP SPxBE DB60 SUPERDUCT</t>
  </si>
  <si>
    <t>6"x30Dx36R PVC SWEEP BxSPDB60 SUPERDUCT</t>
  </si>
  <si>
    <t>6"x22 1/2Dx36R PVC SWEEP SPxBE DB60 FAB</t>
  </si>
  <si>
    <t>6"x11 1/4Dx36R PVC SWEEP BxSP DB60 SUPERDUCT</t>
  </si>
  <si>
    <t>2"x90Dx48R PVC SWEEP BxSPDB60 SUPERDUCT</t>
  </si>
  <si>
    <t>2"x45Dx48R PVC SWEEP BxSPDB60 SUPERDUCT</t>
  </si>
  <si>
    <t>2"x30Dx48R PVC SWEEP BxSPDB60 SUPERDUCT</t>
  </si>
  <si>
    <t>2"x22 1/2Dx48R PVC SWEEP BxSP DB60 SUPERDUCT</t>
  </si>
  <si>
    <t>2"x11 1/4Dx48R PVC SWEEP BxSP DB60 SUPERDUCT</t>
  </si>
  <si>
    <t>3"x90Dx48R PVC SWEEP SPxBE DB60 SUPERDUCT</t>
  </si>
  <si>
    <t>3"x45Dx48R PVC SWEEP BxSPDB60 SUPERDUCT</t>
  </si>
  <si>
    <t>3"x30Dx48R PVC SWEEP BxSPDB60 SUPERDUCT</t>
  </si>
  <si>
    <t>3"x22 1/2Dx48R PVC SWEEP BxSP DB60 SUPERDUCT</t>
  </si>
  <si>
    <t>3"x11 1/4Dx48R PVC SWEEP BxSP DB60 SUPERDUCT</t>
  </si>
  <si>
    <t>4"x90Dx48R PVC SWEEP SPxBE DB60 SUPERDUCT</t>
  </si>
  <si>
    <t>4"x45Dx48R PVC SWEEP BxSPDB60 SUPERDUCT</t>
  </si>
  <si>
    <t>4"x30Dx48R PVC SWEEP BxSPDB60 SUPERDUCT</t>
  </si>
  <si>
    <t>4"x22 1/2Dx48R PVC SWEEP BxSP DB60 SUPERDUCT</t>
  </si>
  <si>
    <t>4"x11 1/4Dx48R PVC SWEEP BxSP DB60 SUPERDUCT</t>
  </si>
  <si>
    <t>5"x90Dx48R PVC SWEEP SPxBE DB60 SUPERDUCT</t>
  </si>
  <si>
    <t>5"x45Dx48R PVC SWEEP SPxBE DB60 SUPERDUCT</t>
  </si>
  <si>
    <t>5"x30Dx48R PVC SWEEP SPxBE DB60 SUPERDUCT</t>
  </si>
  <si>
    <t>5"x22 1/2Dx48R PVC SWEEP BxSP DB60 SUPERDUCT</t>
  </si>
  <si>
    <t>5"x11 1/4Dx48R PVC SWEEP BxSP DB60 SUPERDUCT</t>
  </si>
  <si>
    <t>6"x90Dx48R PVC SWEEP SPxBE DB60 SUPERDUCT</t>
  </si>
  <si>
    <t>6"x45Dx48R PVC SWEEP SPxBE DB60 SUPERDUCT</t>
  </si>
  <si>
    <t>6"x30Dx48R PVC SWEEP BxSPDB60 SUPERDUCT</t>
  </si>
  <si>
    <t>6"x22 1/2Dx48R PVC SWEEP BxSP DB60 SUPERDUCT</t>
  </si>
  <si>
    <t>6"x11 1/4Dx48R PVC SWEEP BxSP DB60 SUPERDUCT</t>
  </si>
  <si>
    <t>5"x90Dx150R PVC SWEEP BxSP DB60 SUPERDUCT</t>
  </si>
  <si>
    <t>5"x45Dx150R PVC SWEEP BxSP DB60 KRALOY</t>
  </si>
  <si>
    <t>5"x30Dx150R PVC SWEEP BxSP DB60 SUPERDUCT</t>
  </si>
  <si>
    <t>5"x22 1/2Dx150R PVC SWEEPBxSP DB60 SUPERDUCT</t>
  </si>
  <si>
    <t>5"x11 1/4Dx150R PVC SWEEPBxSP DB60 SUPERDUCT</t>
  </si>
  <si>
    <t>6"x90Dx150R PVC SWEEP SPxBE DB60 2PCS SUPERDUCT</t>
  </si>
  <si>
    <t>6"x45Dx150R PVC STD ELBOWSPxBE DB60 SUPERDUCT</t>
  </si>
  <si>
    <t>6"x30Dx150R PVC SWEEP BxSP DB60</t>
  </si>
  <si>
    <t>6"x22 1/2Dx150R PVC SWEEPBxSP DB60 SUPERDUCT</t>
  </si>
  <si>
    <t>6"x11 1/4Dx150R PVC SWEEPBxSP DB60 SUPERDUCT</t>
  </si>
  <si>
    <t>CEMC05 237 ML PVC SOLVENTCEMENT LOW V.O.C. SCEPTER/KRALOY</t>
  </si>
  <si>
    <t>078BW</t>
  </si>
  <si>
    <t>CEMC10 PINT PVC SOLVENT CEMENT LOW V.O.C. SCEPTER/KRALOY</t>
  </si>
  <si>
    <t>CEMC20 QUART PVC SOLVENT CEMENT LOW V.O.C. SCEPTER/KRALOY</t>
  </si>
  <si>
    <t>CEMC80 GALLON PVC SOLVENTCEMENT LOW V.O.C. SCEPTER/KRALOY</t>
  </si>
  <si>
    <t>CEMG10 PINT PVC MEDIUM BODY CEMENT GREY KRALOY</t>
  </si>
  <si>
    <t>CEMG20 QUART PVC MEDIUM BODY CEMENT GREY KRALOY</t>
  </si>
  <si>
    <t>CWC10 PINT (473 ML) PVC COLD WEATHER CEMENT LOW V.O.C. SCEPTER/KRALOY</t>
  </si>
  <si>
    <t>CWC20 QUART PVC COLD WEATHER CEMENT LOW V.O.C.SCEPTER/KRALOY</t>
  </si>
  <si>
    <t>PINT PVC PRIMER CLEAR LOWV.O.C. SCEPTER/KRALOY</t>
  </si>
  <si>
    <t>078BV</t>
  </si>
  <si>
    <t>QUART PVC PRIMER CLEAR LOW V.O.C. SCEPTER/KRALOY</t>
  </si>
  <si>
    <t>PRMP20 QUART PVC PRIMER PURPLE LOW V.O.C. KRALOY</t>
  </si>
  <si>
    <t>14"x12"x4" PVC JUNCTION BOX SCEPTER/KRALOY</t>
  </si>
  <si>
    <t>078BL</t>
  </si>
  <si>
    <t>14"x12"x6" PVC JUNCTION BOX SCEPTER/KRALOY</t>
  </si>
  <si>
    <t>14"x12"x8" PVC JUNCTION BOX SCEPTER/KRALOY</t>
  </si>
  <si>
    <t>14"x14"x4" PVC JUNCTION BOX SCEPTER/KRALOY</t>
  </si>
  <si>
    <t>14"x14"x8" PVC JUNCTION BOX SCEPTER/KRALOY</t>
  </si>
  <si>
    <t>14"x14"x10" PVC JUNCTION BOX SCEPTER/KRALOY</t>
  </si>
  <si>
    <t>16"x16"x10" PVC JUNCTION BOX SCEPTER/KRALOY</t>
  </si>
  <si>
    <t>16"x16"x12" PVC JUNCTION BOX SCEPTER/KRALOY</t>
  </si>
  <si>
    <t>JB161616 16"x16"x16" PVC JUNCTION BOX FAB KRALOY</t>
  </si>
  <si>
    <t>18"x12"x6" PVC JUNCTION BOX SCEPTER/KRALOY</t>
  </si>
  <si>
    <t>18"x12"x8" PVC JUNCTION BOX SCEPTER/KRALOY</t>
  </si>
  <si>
    <t>18"x16"x4" PVC JUNCTION BOX SCEPTER/KRALOY</t>
  </si>
  <si>
    <t>18"x16"x6" PVC JUNCTION BOX SCEPTER/KRALOY</t>
  </si>
  <si>
    <t>18"x16"x8" PVC JUNCTION BOX SCEPTER/KRALOY</t>
  </si>
  <si>
    <t>SC181806 18"x18"x6" PVC JUNCTION BOX FAB KRALOY</t>
  </si>
  <si>
    <t>SC181808 18"x18"x8" JUNCTION BOX FAB KRALOY</t>
  </si>
  <si>
    <t>JB181810 18"x18"x10" PVC JUNCTION BOX SCEPTER/KRALOY</t>
  </si>
  <si>
    <t>18"x18"x12" PVC JUNCTION BOX KRALOY</t>
  </si>
  <si>
    <t>18"x18"x18" PVC JUNCTION BOX SCEPTER/KRALOY</t>
  </si>
  <si>
    <t>JB24188 24"x18"x8" PVC JUNCTION BOX SCEPTER/KRALOY</t>
  </si>
  <si>
    <t>24 X 18 X 12 JUNCTION BOX</t>
  </si>
  <si>
    <t>SC242406 24"x24"x6" PVC JUNCTION BOX FAB KRALOY</t>
  </si>
  <si>
    <t>SC242408 24"x24"x8" PVC JUNCTION BOX FAB KRALOY</t>
  </si>
  <si>
    <t>24"x24"x10" PVC JUNCTION BOX KRALOY</t>
  </si>
  <si>
    <t>SC242412 24"x24"x12" PVC JUNCTION BOX FAB KRALOY</t>
  </si>
  <si>
    <t>24"x24"x24" PVC JUNCTION BOX SCEPTER/KRALOY</t>
  </si>
  <si>
    <t>30"x30"x10" PVC JUNCTION BOX SCEPTER/KRALOY</t>
  </si>
  <si>
    <t>JB303030 30"x30"x30" PVC JUNCTION BOX KRALOY</t>
  </si>
  <si>
    <t>36"x36"x12" PVC JUNCTION BOX SCEPTER/KRALOY</t>
  </si>
  <si>
    <t>36"x36"x20" PVC JUNCTION BOX SCEPTER/KRALOY</t>
  </si>
  <si>
    <t>48"x48"x24" PVC JUNCTION BOX KRALOY</t>
  </si>
  <si>
    <t>1/2"x200' ENT UL KWIKON</t>
  </si>
  <si>
    <t>012BZ</t>
  </si>
  <si>
    <t>3/4"x100' ENT UL KWIKON COIL</t>
  </si>
  <si>
    <t>1"x100' ENT UL KWIKON COIL</t>
  </si>
  <si>
    <t>1 1/4"x500' ENT CSA/UL KWIKON</t>
  </si>
  <si>
    <t>1 1/2"x300' ENT CSA/UL KWIKON COIL</t>
  </si>
  <si>
    <t>2"x225' ENT CSA/UL KWIKON</t>
  </si>
  <si>
    <t>1/2"x10' ENT UL KWIKON</t>
  </si>
  <si>
    <t>012CA</t>
  </si>
  <si>
    <t>3/4"x10' ENT UL KWIKON</t>
  </si>
  <si>
    <t>1"x10' ENT UL KWIKON</t>
  </si>
  <si>
    <t>1/2"x1500' ENT UL KWIKON REEL</t>
  </si>
  <si>
    <t>012CB</t>
  </si>
  <si>
    <t>3/4"x1000' ENT UL KWIKON REEL</t>
  </si>
  <si>
    <t>1"x750' ENT UL KWIKON REEL</t>
  </si>
  <si>
    <t>1 1/4"x1000' ENT CSA/UL KWIKON REEL</t>
  </si>
  <si>
    <t>1 1/2"x750' ENT CSA/UL KWIKON REEL</t>
  </si>
  <si>
    <t>2"x500' ENT CSA/UL GREY COR-LINE</t>
  </si>
  <si>
    <t>1/2"x1500' ENT UL YELLOW KWIKON REEL</t>
  </si>
  <si>
    <t>3/4"x1000' ENT UL YELLOW KWIKON REEL</t>
  </si>
  <si>
    <t>1"x750' ENT UL YELLOW KWIKON REEL</t>
  </si>
  <si>
    <t>1/2"x1500' ENT UL RED KWIKON REEL</t>
  </si>
  <si>
    <t>3/4"x1000' ENT UL RED KWIKON REEL</t>
  </si>
  <si>
    <t>1"x750' ENT UL RED KWIKONREEL</t>
  </si>
  <si>
    <t>CLC20 1/2 TO 1" CUTTER KWIKON</t>
  </si>
  <si>
    <t>088CE</t>
  </si>
  <si>
    <t>SSB 1/2 TO 1" REPLACEMENTBLADE KWIKON</t>
  </si>
  <si>
    <t>CLC35 1/2 TO 2" CUTTER KWIKON</t>
  </si>
  <si>
    <t>SB35 1/2 TO 2" REPLACEMENT BLADE KWIKON</t>
  </si>
  <si>
    <t>SMB-10 PVC SLAB BOX KWIKON</t>
  </si>
  <si>
    <t>089CC</t>
  </si>
  <si>
    <t>SMB-10/20 PVC SLAB BOX KWIKON</t>
  </si>
  <si>
    <t>SMB-H-10 PVC SLAB BOX KWIKON</t>
  </si>
  <si>
    <t>SMB-H-10/15 PVC SLAB BOX KWIKON</t>
  </si>
  <si>
    <t>SMB-H-15 PVC SLAB BOX KWIKON</t>
  </si>
  <si>
    <t>SMB-H-15/20 PVC SLAB BOX KWIKON</t>
  </si>
  <si>
    <t>SMB-H-10/20 PVC SLAB BOX KWIKON</t>
  </si>
  <si>
    <t>SMBS-10 PVC SHALLOW SLAB BOX KWIKON</t>
  </si>
  <si>
    <t>SMBS-10/20 PVC SHALLOW SLAB BOX KWIKON</t>
  </si>
  <si>
    <t>SMBS-H-10 PVC SHALLOW SLAB BOX KWIKON</t>
  </si>
  <si>
    <t>SMBS-H-10/15 PVC SHALLOW SLAB BOX KWIKON</t>
  </si>
  <si>
    <t>SMBS-H-15 PVC SHALLOW SLAB BOX KWIKON</t>
  </si>
  <si>
    <t>SMBS-H-15/20 PVC SHALLOW SLAB BOX KWIKON</t>
  </si>
  <si>
    <t>SMBS-H-10/20 PVC SHALLOW SLAB BOX KWIKON</t>
  </si>
  <si>
    <t>SSBH-10 PVC SQUARE SLAB BOX KWIKON</t>
  </si>
  <si>
    <t>SSBH-10/15 PVC SQUARE SLAB BOX KWIKON</t>
  </si>
  <si>
    <t>SSBH-15 PVC SQUARE SLAB BOX KWIKON</t>
  </si>
  <si>
    <t>SSBH-15/20 PVC SQUARE SLAB BOX KWIKON</t>
  </si>
  <si>
    <t>SSBH-10/20 PVC SQUARE SLAB BOX KWIKON</t>
  </si>
  <si>
    <t>MB-10/20 PVC SLAB BOX KWIKON</t>
  </si>
  <si>
    <t>MBH-15 8"x3/4" PVC CONNECTOR SCEPTER/KRALOY</t>
  </si>
  <si>
    <t>MBH-10/20 PVC SLAB BOX KWIKON</t>
  </si>
  <si>
    <t>MBH-10/15 PVC SLAB BOX KWIKON</t>
  </si>
  <si>
    <t>MBH-15/20 PVC SLAB BOX KWIKON</t>
  </si>
  <si>
    <t>MBH-10 PVC SLAB BOX KWIKON</t>
  </si>
  <si>
    <t>SMBR 1" PVC SLAB BOX EXTENSION RING KWIKON</t>
  </si>
  <si>
    <t>KSTB10 1/2" PE ENT FORM STUBBY KWIKON</t>
  </si>
  <si>
    <t>089CF</t>
  </si>
  <si>
    <t>KSTB15 3/4" PE ENT FORM STUBBY KWIKON</t>
  </si>
  <si>
    <t>KSTB20 1" PE ENT FORM STUBBY KWIKON</t>
  </si>
  <si>
    <t>KSTB-25 1 1/4" PE ENT FORM STUBBY KWIKON</t>
  </si>
  <si>
    <t>SVDBH-10-15 PVC SLAB BOX KWIKON</t>
  </si>
  <si>
    <t>089CH</t>
  </si>
  <si>
    <t>SVDBH-15-20 PVC SLAB BOX KWIKON</t>
  </si>
  <si>
    <t>SVDB-H-10/20 PVC SLAB BOXKWIKON</t>
  </si>
  <si>
    <t>SVDBH-15 PVC SLAB BOX KWIKON</t>
  </si>
  <si>
    <t>SVSBH-10 PVC SLAB BOX KWIKON</t>
  </si>
  <si>
    <t>SVSBH-15 PVC SLAB BOX KWIKON</t>
  </si>
  <si>
    <t>ESU-10-35 ENT SUPPORT UNIT KWIKON</t>
  </si>
  <si>
    <t>089TP</t>
  </si>
  <si>
    <t>KASTB-10 1/2"x45D PE ANGLED FORM STUBBY KWIKON</t>
  </si>
  <si>
    <t>KASTB-15 3/4"x45D PE ANGLED FORM STUBBY KWIKON</t>
  </si>
  <si>
    <t>KASTB-20 1"x45D PE ANGLEDFORM STUBBY KWIKON</t>
  </si>
  <si>
    <t>KASTB-25 1 1/4" PE ANGLEDFORM STUBBY KWIKON</t>
  </si>
  <si>
    <t>KASTB-30 1 1/2" PE ANGLEDFORM STUBBY KWIKON</t>
  </si>
  <si>
    <t>MSTB-10 1/2" PE MULTI-LINK STUBBY KWIKON</t>
  </si>
  <si>
    <t>089ML</t>
  </si>
  <si>
    <t>MSTB-15 3/4" PE MULTI-LINK STUBBY KWIKON</t>
  </si>
  <si>
    <t>MSTB-20 1" PE MULTI-LINK STUBBY KWIKON</t>
  </si>
  <si>
    <t>KT90-10 1/2" PVC THR STUBDOWN KWIKON</t>
  </si>
  <si>
    <t>089ST</t>
  </si>
  <si>
    <t>KT90-15 3/4" PVC THR STUBDOWN KWIKON</t>
  </si>
  <si>
    <t>KT90-20 1" PVC THR STUBDOWN KWIKON</t>
  </si>
  <si>
    <t>KK90-10 1/2"x90D PVC STUBDOWN KWIKON</t>
  </si>
  <si>
    <t>089SF</t>
  </si>
  <si>
    <t>KK90-15 3/4"x90D PVC STUBDOWN KWIKON</t>
  </si>
  <si>
    <t>KK90-20 1"x90D PVC STUBDOWN KWIKON</t>
  </si>
  <si>
    <t>KC10 1/2" PVC COUPLING KWIKON</t>
  </si>
  <si>
    <t>089CD</t>
  </si>
  <si>
    <t>KC15 3/4" PVC COUPLING KWIKON</t>
  </si>
  <si>
    <t>KC20 1" PVC COUPLING KWIKON</t>
  </si>
  <si>
    <t>KC25 1 1/4" PVC COUPLING KWIKON</t>
  </si>
  <si>
    <t>KC30 1 1/2" PVC COUPLING KWIKON</t>
  </si>
  <si>
    <t>KC35 2" PVC COUPLING KWIKON</t>
  </si>
  <si>
    <t>KTA10 1/2" PVC CONNECTOR KWIKON</t>
  </si>
  <si>
    <t>KTA15 3/4" PVC CONNECTOR KWIKON</t>
  </si>
  <si>
    <t>KTA20 1" PVC CONNECTOR KWIKON</t>
  </si>
  <si>
    <t>KTA25 1 1/4" PVC CONNECTOR KWIKON</t>
  </si>
  <si>
    <t>KTA30 1 1/2" PVC CONNECTOR KWIKON</t>
  </si>
  <si>
    <t>KTA35 2" PVC CONNECTOR KWIKON</t>
  </si>
  <si>
    <t>KTS10 1/2" PVC SNAP IN MALE ADPT KWIKON</t>
  </si>
  <si>
    <t>KTS15 3/4" PVC SNAP IN MALE ADPT KWIKON</t>
  </si>
  <si>
    <t>KTS20 1" PVC SNAP IN MALEADPT KWIKON</t>
  </si>
  <si>
    <t>KTC10 1/2" PVC CONNECTOR ENT TO EMT KWIKON</t>
  </si>
  <si>
    <t>KTC15 3/4" PVC CONNECTOR ENT TO EMT KWIKON</t>
  </si>
  <si>
    <t>KTC20 1" PVC CONNECTOR ENT TO EMT KWIKON</t>
  </si>
  <si>
    <t>CCB100QT QUART CEMENT ENTLOW V.O.C. KWIKON</t>
  </si>
  <si>
    <t>078CG</t>
  </si>
  <si>
    <t>TP10 1/2" PVC TAPERED PLUG KWIKON</t>
  </si>
  <si>
    <t>TP15 3/4" PVC TAPERED PLUG KWIKON</t>
  </si>
  <si>
    <t>TP20 1" PVC TAPERED PLUG KWIKON</t>
  </si>
  <si>
    <t>KRC 10 4" PVC RAISED DEVICE COV. 1/2" SING. KWIKON</t>
  </si>
  <si>
    <t>ICF-1-RL PVC SINGLE GANG ICF BOX CSAus NMD CABLE INEXO</t>
  </si>
  <si>
    <t>220IC</t>
  </si>
  <si>
    <t>ICF-2-RL PVC DOUBLE GANG ICF BOX CSAus NMD CABLE INEXO</t>
  </si>
  <si>
    <t>ICF-3-RL PVC TRIPLE GANG ICF BOX CSAus NMD CABLE INEXO</t>
  </si>
  <si>
    <t>ICF-1-CLU PVC SINGLE GANGICF BOX CSAus MC/NMD CABLE INEXO</t>
  </si>
  <si>
    <t>ICF-2-CLU PVC DOUBLE GANGICF BOX CSAus MC/NMD CABLE INEXO</t>
  </si>
  <si>
    <t>ICF-3-CLU PVC TRIPLE GANGICF BOX CSAus MC/NMD CABLE INEXO</t>
  </si>
  <si>
    <t>LVD-RLX ICF BOX LOW VOLTAGE DIVIDER RESIDENTIAL INEXO</t>
  </si>
  <si>
    <t>3/8"x100' PVC TYPE B PIPEKWIKFLEX</t>
  </si>
  <si>
    <t>065CN</t>
  </si>
  <si>
    <t>1/2"x100' PVC TYPE B PIPEKWIKFLEX</t>
  </si>
  <si>
    <t>065CO</t>
  </si>
  <si>
    <t>3/4"x100' TYPE B PIPE GREY KWIKFLEX</t>
  </si>
  <si>
    <t>065CP</t>
  </si>
  <si>
    <t>1"x100' TYPE B PIPE GREY KWIKFLEX</t>
  </si>
  <si>
    <t>065CQ</t>
  </si>
  <si>
    <t>1 1/4"x100' TYPE B PIPE GREY KWIKFLEX</t>
  </si>
  <si>
    <t>1 1/2"x50' TYPE B PIPE GREY KWIKFLEX</t>
  </si>
  <si>
    <t>1 1/2"x100' TYPE B PIPE GREY KWIKFLEX</t>
  </si>
  <si>
    <t>2"x50' TYPE B PIPE GREY KWIKFLEX</t>
  </si>
  <si>
    <t>1/2"x1000' PIPE LIQUIDTIGHT KWIKFLEX REEL</t>
  </si>
  <si>
    <t>3/4"x700' PIPE LIQUIDTIGHT KWIKFLEX REEL</t>
  </si>
  <si>
    <t>1"x500' PIPE LIQUIDTIGHT KWIKFLEX REEL</t>
  </si>
  <si>
    <t>3/8"x90D PVC ELBOW GREY KWIKFLEX</t>
  </si>
  <si>
    <t>065CT</t>
  </si>
  <si>
    <t>LTB10/90 1/2"x90D NM ELBOW GREY KWIKFLEX</t>
  </si>
  <si>
    <t>LTB15/90 3/4"x90D NM ELBOW GREY KWIKFLEX</t>
  </si>
  <si>
    <t>LTB20/90 1"x90D NM ELBOW GREY KWIKFLEX</t>
  </si>
  <si>
    <t>LTB25/90 1 1/4"x90D NM ELBOW GREY KWIKFLEX</t>
  </si>
  <si>
    <t>LTB30/90 1 1/2"x90D NM ELBOW GREY KWIKFLEX</t>
  </si>
  <si>
    <t>LTB35/90 2"x90D NM ELBOW GREY KWIKFLEX</t>
  </si>
  <si>
    <t>LTS03 3/8" NM STRAIGHT FITTING LIQUIDTIGHT GREY KWIKFLEX</t>
  </si>
  <si>
    <t>LTS10 1/2" NM STRAIGHT FITTING LIQUIDTIGHT GREY KWIKFLEX</t>
  </si>
  <si>
    <t>LTS15 3/4" NM STRAIGHT FITTING LIQUIDTIGHT GREY KWIKFLEX</t>
  </si>
  <si>
    <t>LTS20 1" NM STRAIGHT FITTING LIQUIDTIGHT GREY KWIKFLEX</t>
  </si>
  <si>
    <t>LTS25 1 1/4" NM STRAIGHT FITTING LIQUIDTIGHT GREY KWIKFLEX</t>
  </si>
  <si>
    <t>LTS30 1 1/2" NM STRAIGHT FITTING LIQUIDTIGHT GREY KWIKFLEX</t>
  </si>
  <si>
    <t>LTS35 2" NM STRAIGHT FITTING LIQUIDTIGHT GREY KWIKFLEX</t>
  </si>
  <si>
    <t>LTD10/90 1/2"x90D NM ELBOW GREY SCREW-ON KWIKFLEX</t>
  </si>
  <si>
    <t>065CU</t>
  </si>
  <si>
    <t>3/4"x90D NM ELBOW GREY SCREW-ON KWIKFLEX</t>
  </si>
  <si>
    <t>LTD10 1/2" NM STRAIGHT FITTING LIQUIDTIGHT GREY SCREW-ON KWIKFLEX</t>
  </si>
  <si>
    <t>LTD15 3/4" NM STRAIGHT FITTING LIQUIDTIGHT GREY SCREW-ON KWIKFLEX</t>
  </si>
  <si>
    <t>1/2"xMULTI ANGLE NM CONNECTOR LIQUIDTIGHT GREY KWIKFLEX</t>
  </si>
  <si>
    <t>065CA</t>
  </si>
  <si>
    <t>3/4"xMULTI ANGLE NM CONNECTOR LIQUIDTIGHT GREY KWIKFLEX</t>
  </si>
  <si>
    <t>3/8"x100' PIPE BLACK KWIKFLEX</t>
  </si>
  <si>
    <t>065CS</t>
  </si>
  <si>
    <t>1/2"x100' PIPE BLACK KWIKFLEX</t>
  </si>
  <si>
    <t>3/4"x100' PIPE BLACK KWIKFLEX</t>
  </si>
  <si>
    <t>1"x100' PIPE BLACK KWIKFLEX</t>
  </si>
  <si>
    <t>1 1/4"x100' PIPE BLACK KWIKFLEX</t>
  </si>
  <si>
    <t>1 1/2"x50' PIPE BLACK KWIKFLEX</t>
  </si>
  <si>
    <t>2"x50' PIPE BLACK KWIKFLEX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</si>
</sst>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6" fillId="0" borderId="0" xfId="1" applyFont="1" applyAlignment="1">
      <alignment horizontal="left"/>
    </xf>
    <xf numFmtId="44" fontId="0" fillId="0" borderId="0" xfId="1" applyFon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2"/>
  <sheetViews>
    <sheetView tabSelected="1" topLeftCell="C1126" workbookViewId="0">
      <selection activeCell="G9" sqref="G9"/>
    </sheetView>
  </sheetViews>
  <sheetFormatPr defaultRowHeight="14.4" x14ac:dyDescent="0.3"/>
  <cols>
    <col min="1" max="1" width="13.33203125" style="2" bestFit="1" customWidth="1"/>
    <col min="2" max="2" width="14.44140625" style="2" bestFit="1" customWidth="1"/>
    <col min="3" max="3" width="36.88671875" style="2" bestFit="1" customWidth="1"/>
    <col min="4" max="4" width="7.109375" style="2" bestFit="1" customWidth="1"/>
    <col min="5" max="5" width="13.109375" style="2" bestFit="1" customWidth="1"/>
    <col min="6" max="6" width="16.21875" style="2" bestFit="1" customWidth="1"/>
    <col min="7" max="7" width="77.77734375" style="2" bestFit="1" customWidth="1"/>
    <col min="8" max="8" width="12.33203125" style="5" bestFit="1" customWidth="1"/>
    <col min="9" max="9" width="4.77734375" style="2" bestFit="1" customWidth="1"/>
    <col min="10" max="10" width="9.6640625" style="2" bestFit="1" customWidth="1"/>
    <col min="11" max="11" width="12.88671875" style="2" bestFit="1" customWidth="1"/>
    <col min="12" max="12" width="12.77734375" style="2" bestFit="1" customWidth="1"/>
    <col min="13" max="13" width="10.109375" style="2" bestFit="1" customWidth="1"/>
    <col min="14" max="14" width="9.6640625" style="2" bestFit="1" customWidth="1"/>
    <col min="15" max="16384" width="8.88671875" style="2"/>
  </cols>
  <sheetData>
    <row r="1" spans="1:14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">
      <c r="A2" s="2" t="s">
        <v>14</v>
      </c>
      <c r="B2" s="2" t="s">
        <v>15</v>
      </c>
      <c r="C2" s="2" t="s">
        <v>16</v>
      </c>
      <c r="D2" s="2" t="str">
        <f>("078001")</f>
        <v>078001</v>
      </c>
      <c r="E2" s="2" t="str">
        <f>("622454780019")</f>
        <v>622454780019</v>
      </c>
      <c r="G2" s="2" t="s">
        <v>17</v>
      </c>
      <c r="H2" s="5">
        <v>112.4</v>
      </c>
      <c r="I2" s="2" t="s">
        <v>18</v>
      </c>
      <c r="J2" s="3">
        <v>43013</v>
      </c>
      <c r="K2" s="2">
        <v>1.0999999999999999E-2</v>
      </c>
      <c r="L2" s="2">
        <v>2.4E-2</v>
      </c>
      <c r="M2" s="2">
        <v>150</v>
      </c>
      <c r="N2" s="2" t="s">
        <v>19</v>
      </c>
    </row>
    <row r="3" spans="1:14" x14ac:dyDescent="0.3">
      <c r="A3" s="2" t="s">
        <v>14</v>
      </c>
      <c r="B3" s="2" t="s">
        <v>15</v>
      </c>
      <c r="C3" s="2" t="s">
        <v>16</v>
      </c>
      <c r="D3" s="2" t="str">
        <f>("078002")</f>
        <v>078002</v>
      </c>
      <c r="E3" s="2" t="str">
        <f>("622454780026")</f>
        <v>622454780026</v>
      </c>
      <c r="G3" s="2" t="s">
        <v>20</v>
      </c>
      <c r="H3" s="5">
        <v>138.71</v>
      </c>
      <c r="I3" s="2" t="s">
        <v>18</v>
      </c>
      <c r="J3" s="3">
        <v>43013</v>
      </c>
      <c r="K3" s="2">
        <v>1.6E-2</v>
      </c>
      <c r="L3" s="2">
        <v>3.5000000000000003E-2</v>
      </c>
      <c r="M3" s="2">
        <v>100</v>
      </c>
      <c r="N3" s="2" t="s">
        <v>19</v>
      </c>
    </row>
    <row r="4" spans="1:14" x14ac:dyDescent="0.3">
      <c r="A4" s="2" t="s">
        <v>14</v>
      </c>
      <c r="B4" s="2" t="s">
        <v>15</v>
      </c>
      <c r="C4" s="2" t="s">
        <v>16</v>
      </c>
      <c r="D4" s="2" t="str">
        <f>("078003")</f>
        <v>078003</v>
      </c>
      <c r="E4" s="2" t="str">
        <f>("622454780033")</f>
        <v>622454780033</v>
      </c>
      <c r="G4" s="2" t="s">
        <v>21</v>
      </c>
      <c r="H4" s="5">
        <v>213.65</v>
      </c>
      <c r="I4" s="2" t="s">
        <v>18</v>
      </c>
      <c r="J4" s="3">
        <v>43013</v>
      </c>
      <c r="K4" s="2">
        <v>2.9000000000000001E-2</v>
      </c>
      <c r="L4" s="2">
        <v>6.4000000000000001E-2</v>
      </c>
      <c r="M4" s="2">
        <v>50</v>
      </c>
      <c r="N4" s="2" t="s">
        <v>19</v>
      </c>
    </row>
    <row r="5" spans="1:14" x14ac:dyDescent="0.3">
      <c r="A5" s="2" t="s">
        <v>14</v>
      </c>
      <c r="B5" s="2" t="s">
        <v>15</v>
      </c>
      <c r="C5" s="2" t="s">
        <v>16</v>
      </c>
      <c r="D5" s="2" t="str">
        <f>("078004")</f>
        <v>078004</v>
      </c>
      <c r="E5" s="2" t="str">
        <f>("622454780040")</f>
        <v>622454780040</v>
      </c>
      <c r="G5" s="2" t="s">
        <v>22</v>
      </c>
      <c r="H5" s="5">
        <v>284.88</v>
      </c>
      <c r="I5" s="2" t="s">
        <v>18</v>
      </c>
      <c r="J5" s="3">
        <v>43013</v>
      </c>
      <c r="K5" s="2">
        <v>4.3999999999999997E-2</v>
      </c>
      <c r="L5" s="2">
        <v>9.7000000000000003E-2</v>
      </c>
      <c r="M5" s="2">
        <v>50</v>
      </c>
      <c r="N5" s="2" t="s">
        <v>19</v>
      </c>
    </row>
    <row r="6" spans="1:14" x14ac:dyDescent="0.3">
      <c r="A6" s="2" t="s">
        <v>14</v>
      </c>
      <c r="B6" s="2" t="s">
        <v>15</v>
      </c>
      <c r="C6" s="2" t="s">
        <v>16</v>
      </c>
      <c r="D6" s="2" t="str">
        <f>("078005")</f>
        <v>078005</v>
      </c>
      <c r="E6" s="2" t="str">
        <f>("622454780057")</f>
        <v>622454780057</v>
      </c>
      <c r="G6" s="2" t="s">
        <v>23</v>
      </c>
      <c r="H6" s="5">
        <v>397.56</v>
      </c>
      <c r="I6" s="2" t="s">
        <v>18</v>
      </c>
      <c r="J6" s="3">
        <v>43013</v>
      </c>
      <c r="K6" s="2">
        <v>5.7000000000000002E-2</v>
      </c>
      <c r="L6" s="2">
        <v>0.126</v>
      </c>
      <c r="M6" s="2">
        <v>25</v>
      </c>
      <c r="N6" s="2" t="s">
        <v>19</v>
      </c>
    </row>
    <row r="7" spans="1:14" x14ac:dyDescent="0.3">
      <c r="A7" s="2" t="s">
        <v>14</v>
      </c>
      <c r="B7" s="2" t="s">
        <v>15</v>
      </c>
      <c r="C7" s="2" t="s">
        <v>16</v>
      </c>
      <c r="D7" s="2" t="str">
        <f>("078006")</f>
        <v>078006</v>
      </c>
      <c r="E7" s="2" t="str">
        <f>("622454780064")</f>
        <v>622454780064</v>
      </c>
      <c r="G7" s="2" t="s">
        <v>24</v>
      </c>
      <c r="H7" s="5">
        <v>517.41</v>
      </c>
      <c r="I7" s="2" t="s">
        <v>18</v>
      </c>
      <c r="J7" s="3">
        <v>43013</v>
      </c>
      <c r="K7" s="2">
        <v>7.6999999999999999E-2</v>
      </c>
      <c r="L7" s="2">
        <v>0.17</v>
      </c>
      <c r="M7" s="2">
        <v>30</v>
      </c>
      <c r="N7" s="2" t="s">
        <v>19</v>
      </c>
    </row>
    <row r="8" spans="1:14" x14ac:dyDescent="0.3">
      <c r="A8" s="2" t="s">
        <v>14</v>
      </c>
      <c r="B8" s="2" t="s">
        <v>15</v>
      </c>
      <c r="C8" s="2" t="s">
        <v>16</v>
      </c>
      <c r="D8" s="2" t="str">
        <f>("078007")</f>
        <v>078007</v>
      </c>
      <c r="E8" s="2" t="str">
        <f>("622454780071")</f>
        <v>622454780071</v>
      </c>
      <c r="G8" s="2" t="s">
        <v>25</v>
      </c>
      <c r="H8" s="5">
        <v>911.3</v>
      </c>
      <c r="I8" s="2" t="s">
        <v>18</v>
      </c>
      <c r="J8" s="3">
        <v>43013</v>
      </c>
      <c r="K8" s="2">
        <v>0.14799999999999999</v>
      </c>
      <c r="L8" s="2">
        <v>0.32600000000000001</v>
      </c>
      <c r="M8" s="2">
        <v>15</v>
      </c>
      <c r="N8" s="2" t="s">
        <v>26</v>
      </c>
    </row>
    <row r="9" spans="1:14" x14ac:dyDescent="0.3">
      <c r="A9" s="2" t="s">
        <v>14</v>
      </c>
      <c r="B9" s="2" t="s">
        <v>15</v>
      </c>
      <c r="C9" s="2" t="s">
        <v>16</v>
      </c>
      <c r="D9" s="2" t="str">
        <f>("078008")</f>
        <v>078008</v>
      </c>
      <c r="E9" s="2" t="str">
        <f>("622454780088")</f>
        <v>622454780088</v>
      </c>
      <c r="G9" s="2" t="s">
        <v>27</v>
      </c>
      <c r="H9" s="5">
        <v>1507.19</v>
      </c>
      <c r="I9" s="2" t="s">
        <v>18</v>
      </c>
      <c r="J9" s="3">
        <v>43013</v>
      </c>
      <c r="K9" s="2">
        <v>0.217</v>
      </c>
      <c r="L9" s="2">
        <v>0.47799999999999998</v>
      </c>
      <c r="M9" s="2">
        <v>25</v>
      </c>
      <c r="N9" s="2" t="s">
        <v>26</v>
      </c>
    </row>
    <row r="10" spans="1:14" x14ac:dyDescent="0.3">
      <c r="A10" s="2" t="s">
        <v>14</v>
      </c>
      <c r="B10" s="2" t="s">
        <v>15</v>
      </c>
      <c r="C10" s="2" t="s">
        <v>16</v>
      </c>
      <c r="D10" s="2" t="str">
        <f>("078009")</f>
        <v>078009</v>
      </c>
      <c r="E10" s="2" t="str">
        <f>("622454780095")</f>
        <v>622454780095</v>
      </c>
      <c r="G10" s="2" t="s">
        <v>28</v>
      </c>
      <c r="H10" s="5">
        <v>1666.38</v>
      </c>
      <c r="I10" s="2" t="s">
        <v>18</v>
      </c>
      <c r="J10" s="3">
        <v>43013</v>
      </c>
      <c r="K10" s="2">
        <v>0.313</v>
      </c>
      <c r="L10" s="2">
        <v>0.69</v>
      </c>
      <c r="M10" s="2">
        <v>20</v>
      </c>
      <c r="N10" s="2" t="s">
        <v>26</v>
      </c>
    </row>
    <row r="11" spans="1:14" x14ac:dyDescent="0.3">
      <c r="A11" s="2" t="s">
        <v>14</v>
      </c>
      <c r="B11" s="2" t="s">
        <v>15</v>
      </c>
      <c r="C11" s="2" t="s">
        <v>16</v>
      </c>
      <c r="D11" s="2" t="str">
        <f>("078010")</f>
        <v>078010</v>
      </c>
      <c r="E11" s="2" t="str">
        <f>("622454780101")</f>
        <v>622454780101</v>
      </c>
      <c r="G11" s="2" t="s">
        <v>29</v>
      </c>
      <c r="H11" s="5">
        <v>2324.9</v>
      </c>
      <c r="I11" s="2" t="s">
        <v>18</v>
      </c>
      <c r="J11" s="3">
        <v>43013</v>
      </c>
      <c r="K11" s="2">
        <v>0.33200000000000002</v>
      </c>
      <c r="L11" s="2">
        <v>0.73199999999999998</v>
      </c>
      <c r="M11" s="2">
        <v>15</v>
      </c>
      <c r="N11" s="2" t="s">
        <v>26</v>
      </c>
    </row>
    <row r="12" spans="1:14" x14ac:dyDescent="0.3">
      <c r="A12" s="2" t="s">
        <v>14</v>
      </c>
      <c r="B12" s="2" t="s">
        <v>15</v>
      </c>
      <c r="C12" s="2" t="s">
        <v>16</v>
      </c>
      <c r="D12" s="2" t="str">
        <f>("078012")</f>
        <v>078012</v>
      </c>
      <c r="E12" s="2" t="str">
        <f>("622454780125")</f>
        <v>622454780125</v>
      </c>
      <c r="G12" s="2" t="s">
        <v>30</v>
      </c>
      <c r="H12" s="5">
        <v>5884.03</v>
      </c>
      <c r="I12" s="2" t="s">
        <v>18</v>
      </c>
      <c r="J12" s="3">
        <v>43013</v>
      </c>
      <c r="K12" s="2">
        <v>0.497</v>
      </c>
      <c r="L12" s="2">
        <v>1.0960000000000001</v>
      </c>
      <c r="M12" s="2">
        <v>8</v>
      </c>
      <c r="N12" s="2" t="s">
        <v>26</v>
      </c>
    </row>
    <row r="13" spans="1:14" x14ac:dyDescent="0.3">
      <c r="A13" s="2" t="s">
        <v>14</v>
      </c>
      <c r="B13" s="2" t="s">
        <v>15</v>
      </c>
      <c r="C13" s="2" t="s">
        <v>16</v>
      </c>
      <c r="D13" s="2" t="str">
        <f>("078014")</f>
        <v>078014</v>
      </c>
      <c r="E13" s="2" t="str">
        <f>("622454780149")</f>
        <v>622454780149</v>
      </c>
      <c r="G13" s="2" t="s">
        <v>31</v>
      </c>
      <c r="H13" s="5">
        <v>7523.04</v>
      </c>
      <c r="I13" s="2" t="s">
        <v>18</v>
      </c>
      <c r="J13" s="3">
        <v>43013</v>
      </c>
      <c r="K13" s="2">
        <v>0.70799999999999996</v>
      </c>
      <c r="L13" s="2">
        <v>1.5609999999999999</v>
      </c>
      <c r="M13" s="2">
        <v>5</v>
      </c>
      <c r="N13" s="2" t="s">
        <v>26</v>
      </c>
    </row>
    <row r="14" spans="1:14" x14ac:dyDescent="0.3">
      <c r="A14" s="2" t="s">
        <v>14</v>
      </c>
      <c r="B14" s="2" t="s">
        <v>15</v>
      </c>
      <c r="C14" s="2" t="s">
        <v>16</v>
      </c>
      <c r="D14" s="2" t="str">
        <f>("178192")</f>
        <v>178192</v>
      </c>
      <c r="E14" s="2" t="str">
        <f>("622454331341")</f>
        <v>622454331341</v>
      </c>
      <c r="G14" s="2" t="s">
        <v>32</v>
      </c>
      <c r="H14" s="5">
        <v>24626</v>
      </c>
      <c r="I14" s="2" t="s">
        <v>18</v>
      </c>
      <c r="J14" s="3">
        <v>43013</v>
      </c>
      <c r="K14" s="2">
        <v>2.2650000000000001</v>
      </c>
      <c r="L14" s="2">
        <v>4.9930000000000003</v>
      </c>
      <c r="M14" s="2">
        <v>2</v>
      </c>
      <c r="N14" s="2" t="s">
        <v>26</v>
      </c>
    </row>
    <row r="15" spans="1:14" x14ac:dyDescent="0.3">
      <c r="A15" s="2" t="s">
        <v>14</v>
      </c>
      <c r="B15" s="2" t="s">
        <v>15</v>
      </c>
      <c r="C15" s="2" t="s">
        <v>16</v>
      </c>
      <c r="D15" s="2" t="str">
        <f>("078084")</f>
        <v>078084</v>
      </c>
      <c r="E15" s="2" t="str">
        <f>("622454780842")</f>
        <v>622454780842</v>
      </c>
      <c r="G15" s="2" t="s">
        <v>33</v>
      </c>
      <c r="H15" s="5">
        <v>149.5</v>
      </c>
      <c r="I15" s="2" t="s">
        <v>18</v>
      </c>
      <c r="J15" s="3">
        <v>43013</v>
      </c>
      <c r="K15" s="2">
        <v>8.9999999999999993E-3</v>
      </c>
      <c r="L15" s="2">
        <v>0.02</v>
      </c>
      <c r="M15" s="2">
        <v>150</v>
      </c>
      <c r="N15" s="2" t="s">
        <v>34</v>
      </c>
    </row>
    <row r="16" spans="1:14" x14ac:dyDescent="0.3">
      <c r="A16" s="2" t="s">
        <v>14</v>
      </c>
      <c r="B16" s="2" t="s">
        <v>15</v>
      </c>
      <c r="C16" s="2" t="s">
        <v>16</v>
      </c>
      <c r="D16" s="2" t="str">
        <f>("078085")</f>
        <v>078085</v>
      </c>
      <c r="E16" s="2" t="str">
        <f>("622454780859")</f>
        <v>622454780859</v>
      </c>
      <c r="G16" s="2" t="s">
        <v>35</v>
      </c>
      <c r="H16" s="5">
        <v>264.61</v>
      </c>
      <c r="I16" s="2" t="s">
        <v>18</v>
      </c>
      <c r="J16" s="3">
        <v>43013</v>
      </c>
      <c r="K16" s="2">
        <v>1.4999999999999999E-2</v>
      </c>
      <c r="L16" s="2">
        <v>3.3000000000000002E-2</v>
      </c>
      <c r="M16" s="2">
        <v>125</v>
      </c>
      <c r="N16" s="2" t="s">
        <v>34</v>
      </c>
    </row>
    <row r="17" spans="1:14" x14ac:dyDescent="0.3">
      <c r="A17" s="2" t="s">
        <v>14</v>
      </c>
      <c r="B17" s="2" t="s">
        <v>15</v>
      </c>
      <c r="C17" s="2" t="s">
        <v>16</v>
      </c>
      <c r="D17" s="2" t="str">
        <f>("078086")</f>
        <v>078086</v>
      </c>
      <c r="E17" s="2" t="str">
        <f>("622454780866")</f>
        <v>622454780866</v>
      </c>
      <c r="G17" s="2" t="s">
        <v>36</v>
      </c>
      <c r="H17" s="5">
        <v>333.81</v>
      </c>
      <c r="I17" s="2" t="s">
        <v>18</v>
      </c>
      <c r="J17" s="3">
        <v>43013</v>
      </c>
      <c r="K17" s="2">
        <v>0.02</v>
      </c>
      <c r="L17" s="2">
        <v>4.3999999999999997E-2</v>
      </c>
      <c r="M17" s="2">
        <v>50</v>
      </c>
      <c r="N17" s="2" t="s">
        <v>34</v>
      </c>
    </row>
    <row r="18" spans="1:14" x14ac:dyDescent="0.3">
      <c r="A18" s="2" t="s">
        <v>14</v>
      </c>
      <c r="B18" s="2" t="s">
        <v>15</v>
      </c>
      <c r="C18" s="2" t="s">
        <v>16</v>
      </c>
      <c r="D18" s="2" t="str">
        <f>("078087")</f>
        <v>078087</v>
      </c>
      <c r="E18" s="2" t="str">
        <f>("622454780873")</f>
        <v>622454780873</v>
      </c>
      <c r="G18" s="2" t="s">
        <v>37</v>
      </c>
      <c r="H18" s="5">
        <v>429.35</v>
      </c>
      <c r="I18" s="2" t="s">
        <v>18</v>
      </c>
      <c r="J18" s="3">
        <v>43013</v>
      </c>
      <c r="K18" s="2">
        <v>2.8000000000000001E-2</v>
      </c>
      <c r="L18" s="2">
        <v>6.2E-2</v>
      </c>
      <c r="M18" s="2">
        <v>50</v>
      </c>
      <c r="N18" s="2" t="s">
        <v>34</v>
      </c>
    </row>
    <row r="19" spans="1:14" x14ac:dyDescent="0.3">
      <c r="A19" s="2" t="s">
        <v>14</v>
      </c>
      <c r="B19" s="2" t="s">
        <v>15</v>
      </c>
      <c r="C19" s="2" t="s">
        <v>16</v>
      </c>
      <c r="D19" s="2" t="str">
        <f>("078088")</f>
        <v>078088</v>
      </c>
      <c r="E19" s="2" t="str">
        <f>("622454780880")</f>
        <v>622454780880</v>
      </c>
      <c r="G19" s="2" t="s">
        <v>38</v>
      </c>
      <c r="H19" s="5">
        <v>517.78</v>
      </c>
      <c r="I19" s="2" t="s">
        <v>18</v>
      </c>
      <c r="J19" s="3">
        <v>43013</v>
      </c>
      <c r="K19" s="2">
        <v>4.4999999999999998E-2</v>
      </c>
      <c r="L19" s="2">
        <v>9.9000000000000005E-2</v>
      </c>
      <c r="M19" s="2">
        <v>25</v>
      </c>
      <c r="N19" s="2" t="s">
        <v>34</v>
      </c>
    </row>
    <row r="20" spans="1:14" x14ac:dyDescent="0.3">
      <c r="A20" s="2" t="s">
        <v>14</v>
      </c>
      <c r="B20" s="2" t="s">
        <v>15</v>
      </c>
      <c r="C20" s="2" t="s">
        <v>16</v>
      </c>
      <c r="D20" s="2" t="str">
        <f>("078089")</f>
        <v>078089</v>
      </c>
      <c r="E20" s="2" t="str">
        <f>("622454780897")</f>
        <v>622454780897</v>
      </c>
      <c r="G20" s="2" t="s">
        <v>39</v>
      </c>
      <c r="H20" s="5">
        <v>744.24</v>
      </c>
      <c r="I20" s="2" t="s">
        <v>18</v>
      </c>
      <c r="J20" s="3">
        <v>43013</v>
      </c>
      <c r="K20" s="2">
        <v>6.3E-2</v>
      </c>
      <c r="L20" s="2">
        <v>0.13900000000000001</v>
      </c>
      <c r="M20" s="2">
        <v>50</v>
      </c>
      <c r="N20" s="2" t="s">
        <v>34</v>
      </c>
    </row>
    <row r="21" spans="1:14" x14ac:dyDescent="0.3">
      <c r="A21" s="2" t="s">
        <v>14</v>
      </c>
      <c r="B21" s="2" t="s">
        <v>15</v>
      </c>
      <c r="C21" s="2" t="s">
        <v>16</v>
      </c>
      <c r="D21" s="2" t="str">
        <f>("078090")</f>
        <v>078090</v>
      </c>
      <c r="E21" s="2" t="str">
        <f>("622454780903")</f>
        <v>622454780903</v>
      </c>
      <c r="G21" s="2" t="s">
        <v>40</v>
      </c>
      <c r="H21" s="5">
        <v>1265.31</v>
      </c>
      <c r="I21" s="2" t="s">
        <v>18</v>
      </c>
      <c r="J21" s="3">
        <v>43013</v>
      </c>
      <c r="K21" s="2">
        <v>0.111</v>
      </c>
      <c r="L21" s="2">
        <v>0.245</v>
      </c>
      <c r="M21" s="2">
        <v>25</v>
      </c>
      <c r="N21" s="2" t="s">
        <v>41</v>
      </c>
    </row>
    <row r="22" spans="1:14" x14ac:dyDescent="0.3">
      <c r="A22" s="2" t="s">
        <v>14</v>
      </c>
      <c r="B22" s="2" t="s">
        <v>15</v>
      </c>
      <c r="C22" s="2" t="s">
        <v>16</v>
      </c>
      <c r="D22" s="2" t="str">
        <f>("078091")</f>
        <v>078091</v>
      </c>
      <c r="E22" s="2" t="str">
        <f>("622454780910")</f>
        <v>622454780910</v>
      </c>
      <c r="G22" s="2" t="s">
        <v>42</v>
      </c>
      <c r="H22" s="5">
        <v>1853.81</v>
      </c>
      <c r="I22" s="2" t="s">
        <v>18</v>
      </c>
      <c r="J22" s="3">
        <v>43013</v>
      </c>
      <c r="K22" s="2">
        <v>0.15</v>
      </c>
      <c r="L22" s="2">
        <v>0.33100000000000002</v>
      </c>
      <c r="M22" s="2">
        <v>45</v>
      </c>
      <c r="N22" s="2" t="s">
        <v>41</v>
      </c>
    </row>
    <row r="23" spans="1:14" x14ac:dyDescent="0.3">
      <c r="A23" s="2" t="s">
        <v>14</v>
      </c>
      <c r="B23" s="2" t="s">
        <v>15</v>
      </c>
      <c r="C23" s="2" t="s">
        <v>16</v>
      </c>
      <c r="D23" s="2" t="str">
        <f>("078092")</f>
        <v>078092</v>
      </c>
      <c r="E23" s="2" t="str">
        <f>("622454780927")</f>
        <v>622454780927</v>
      </c>
      <c r="G23" s="2" t="s">
        <v>43</v>
      </c>
      <c r="H23" s="5">
        <v>2392.94</v>
      </c>
      <c r="I23" s="2" t="s">
        <v>18</v>
      </c>
      <c r="J23" s="3">
        <v>43013</v>
      </c>
      <c r="K23" s="2">
        <v>0.19900000000000001</v>
      </c>
      <c r="L23" s="2">
        <v>0.439</v>
      </c>
      <c r="M23" s="2">
        <v>30</v>
      </c>
      <c r="N23" s="2" t="s">
        <v>41</v>
      </c>
    </row>
    <row r="24" spans="1:14" x14ac:dyDescent="0.3">
      <c r="A24" s="2" t="s">
        <v>14</v>
      </c>
      <c r="B24" s="2" t="s">
        <v>15</v>
      </c>
      <c r="C24" s="2" t="s">
        <v>16</v>
      </c>
      <c r="D24" s="2" t="str">
        <f>("078093")</f>
        <v>078093</v>
      </c>
      <c r="E24" s="2" t="str">
        <f>("622454780934")</f>
        <v>622454780934</v>
      </c>
      <c r="G24" s="2" t="s">
        <v>44</v>
      </c>
      <c r="H24" s="5">
        <v>3181.9</v>
      </c>
      <c r="I24" s="2" t="s">
        <v>18</v>
      </c>
      <c r="J24" s="3">
        <v>43013</v>
      </c>
      <c r="K24" s="2">
        <v>0.248</v>
      </c>
      <c r="L24" s="2">
        <v>0.54700000000000004</v>
      </c>
      <c r="M24" s="2">
        <v>20</v>
      </c>
      <c r="N24" s="2" t="s">
        <v>41</v>
      </c>
    </row>
    <row r="25" spans="1:14" x14ac:dyDescent="0.3">
      <c r="A25" s="2" t="s">
        <v>14</v>
      </c>
      <c r="B25" s="2" t="s">
        <v>15</v>
      </c>
      <c r="C25" s="2" t="s">
        <v>16</v>
      </c>
      <c r="D25" s="2" t="str">
        <f>("078094")</f>
        <v>078094</v>
      </c>
      <c r="E25" s="2" t="str">
        <f>("622454780941")</f>
        <v>622454780941</v>
      </c>
      <c r="G25" s="2" t="s">
        <v>45</v>
      </c>
      <c r="H25" s="5">
        <v>6262.48</v>
      </c>
      <c r="I25" s="2" t="s">
        <v>18</v>
      </c>
      <c r="J25" s="3">
        <v>43013</v>
      </c>
      <c r="K25" s="2">
        <v>0.377</v>
      </c>
      <c r="L25" s="2">
        <v>0.83099999999999996</v>
      </c>
      <c r="M25" s="2">
        <v>8</v>
      </c>
      <c r="N25" s="2" t="s">
        <v>41</v>
      </c>
    </row>
    <row r="26" spans="1:14" x14ac:dyDescent="0.3">
      <c r="A26" s="2" t="s">
        <v>14</v>
      </c>
      <c r="B26" s="2" t="s">
        <v>15</v>
      </c>
      <c r="C26" s="2" t="s">
        <v>16</v>
      </c>
      <c r="D26" s="2" t="str">
        <f>("078095")</f>
        <v>078095</v>
      </c>
      <c r="E26" s="2" t="str">
        <f>("622454780958")</f>
        <v>622454780958</v>
      </c>
      <c r="G26" s="2" t="s">
        <v>46</v>
      </c>
      <c r="H26" s="5">
        <v>7528.17</v>
      </c>
      <c r="I26" s="2" t="s">
        <v>18</v>
      </c>
      <c r="J26" s="3">
        <v>43013</v>
      </c>
      <c r="K26" s="2">
        <v>0.53100000000000003</v>
      </c>
      <c r="L26" s="2">
        <v>1.171</v>
      </c>
      <c r="M26" s="2">
        <v>10</v>
      </c>
      <c r="N26" s="2" t="s">
        <v>41</v>
      </c>
    </row>
    <row r="27" spans="1:14" x14ac:dyDescent="0.3">
      <c r="A27" s="2" t="s">
        <v>14</v>
      </c>
      <c r="B27" s="2" t="s">
        <v>15</v>
      </c>
      <c r="C27" s="2" t="s">
        <v>16</v>
      </c>
      <c r="D27" s="2" t="str">
        <f>("178190")</f>
        <v>178190</v>
      </c>
      <c r="E27" s="2" t="str">
        <f>("622454324923")</f>
        <v>622454324923</v>
      </c>
      <c r="G27" s="2" t="s">
        <v>47</v>
      </c>
      <c r="H27" s="5">
        <v>69328</v>
      </c>
      <c r="I27" s="2" t="s">
        <v>18</v>
      </c>
      <c r="J27" s="3">
        <v>43013</v>
      </c>
      <c r="K27" s="2">
        <v>1.86</v>
      </c>
      <c r="L27" s="2">
        <v>4.101</v>
      </c>
      <c r="M27" s="2">
        <v>3</v>
      </c>
      <c r="N27" s="2" t="s">
        <v>41</v>
      </c>
    </row>
    <row r="28" spans="1:14" x14ac:dyDescent="0.3">
      <c r="A28" s="2" t="s">
        <v>14</v>
      </c>
      <c r="B28" s="2" t="s">
        <v>15</v>
      </c>
      <c r="C28" s="2" t="s">
        <v>16</v>
      </c>
      <c r="D28" s="2" t="str">
        <f>("078070")</f>
        <v>078070</v>
      </c>
      <c r="E28" s="2" t="str">
        <f>("622454780705")</f>
        <v>622454780705</v>
      </c>
      <c r="G28" s="2" t="s">
        <v>48</v>
      </c>
      <c r="H28" s="5">
        <v>178.55</v>
      </c>
      <c r="I28" s="2" t="s">
        <v>18</v>
      </c>
      <c r="J28" s="3">
        <v>43013</v>
      </c>
      <c r="K28" s="2">
        <v>1.4E-2</v>
      </c>
      <c r="L28" s="2">
        <v>3.1E-2</v>
      </c>
      <c r="M28" s="2">
        <v>150</v>
      </c>
      <c r="N28" s="2" t="s">
        <v>49</v>
      </c>
    </row>
    <row r="29" spans="1:14" x14ac:dyDescent="0.3">
      <c r="A29" s="2" t="s">
        <v>14</v>
      </c>
      <c r="B29" s="2" t="s">
        <v>15</v>
      </c>
      <c r="C29" s="2" t="s">
        <v>16</v>
      </c>
      <c r="D29" s="2" t="str">
        <f>("078071")</f>
        <v>078071</v>
      </c>
      <c r="E29" s="2" t="str">
        <f>("622454780712")</f>
        <v>622454780712</v>
      </c>
      <c r="G29" s="2" t="s">
        <v>50</v>
      </c>
      <c r="H29" s="5">
        <v>281.85000000000002</v>
      </c>
      <c r="I29" s="2" t="s">
        <v>18</v>
      </c>
      <c r="J29" s="3">
        <v>43013</v>
      </c>
      <c r="K29" s="2">
        <v>1.7000000000000001E-2</v>
      </c>
      <c r="L29" s="2">
        <v>3.6999999999999998E-2</v>
      </c>
      <c r="M29" s="2">
        <v>100</v>
      </c>
      <c r="N29" s="2" t="s">
        <v>49</v>
      </c>
    </row>
    <row r="30" spans="1:14" x14ac:dyDescent="0.3">
      <c r="A30" s="2" t="s">
        <v>14</v>
      </c>
      <c r="B30" s="2" t="s">
        <v>15</v>
      </c>
      <c r="C30" s="2" t="s">
        <v>16</v>
      </c>
      <c r="D30" s="2" t="str">
        <f>("078072")</f>
        <v>078072</v>
      </c>
      <c r="E30" s="2" t="str">
        <f>("622454780729")</f>
        <v>622454780729</v>
      </c>
      <c r="G30" s="2" t="s">
        <v>51</v>
      </c>
      <c r="H30" s="5">
        <v>381.09</v>
      </c>
      <c r="I30" s="2" t="s">
        <v>18</v>
      </c>
      <c r="J30" s="3">
        <v>43013</v>
      </c>
      <c r="K30" s="2">
        <v>3.2000000000000001E-2</v>
      </c>
      <c r="L30" s="2">
        <v>7.0999999999999994E-2</v>
      </c>
      <c r="M30" s="2">
        <v>50</v>
      </c>
      <c r="N30" s="2" t="s">
        <v>49</v>
      </c>
    </row>
    <row r="31" spans="1:14" x14ac:dyDescent="0.3">
      <c r="A31" s="2" t="s">
        <v>14</v>
      </c>
      <c r="B31" s="2" t="s">
        <v>15</v>
      </c>
      <c r="C31" s="2" t="s">
        <v>16</v>
      </c>
      <c r="D31" s="2" t="str">
        <f>("078073")</f>
        <v>078073</v>
      </c>
      <c r="E31" s="2" t="str">
        <f>("622454780736")</f>
        <v>622454780736</v>
      </c>
      <c r="G31" s="2" t="s">
        <v>52</v>
      </c>
      <c r="H31" s="5">
        <v>509.83</v>
      </c>
      <c r="I31" s="2" t="s">
        <v>18</v>
      </c>
      <c r="J31" s="3">
        <v>43013</v>
      </c>
      <c r="K31" s="2">
        <v>0.04</v>
      </c>
      <c r="L31" s="2">
        <v>8.7999999999999995E-2</v>
      </c>
      <c r="M31" s="2">
        <v>30</v>
      </c>
      <c r="N31" s="2" t="s">
        <v>49</v>
      </c>
    </row>
    <row r="32" spans="1:14" x14ac:dyDescent="0.3">
      <c r="A32" s="2" t="s">
        <v>14</v>
      </c>
      <c r="B32" s="2" t="s">
        <v>15</v>
      </c>
      <c r="C32" s="2" t="s">
        <v>16</v>
      </c>
      <c r="D32" s="2" t="str">
        <f>("078074")</f>
        <v>078074</v>
      </c>
      <c r="E32" s="2" t="str">
        <f>("622454780743")</f>
        <v>622454780743</v>
      </c>
      <c r="G32" s="2" t="s">
        <v>53</v>
      </c>
      <c r="H32" s="5">
        <v>542.16</v>
      </c>
      <c r="I32" s="2" t="s">
        <v>18</v>
      </c>
      <c r="J32" s="3">
        <v>43013</v>
      </c>
      <c r="K32" s="2">
        <v>5.2999999999999999E-2</v>
      </c>
      <c r="L32" s="2">
        <v>0.11700000000000001</v>
      </c>
      <c r="M32" s="2">
        <v>25</v>
      </c>
      <c r="N32" s="2" t="s">
        <v>49</v>
      </c>
    </row>
    <row r="33" spans="1:14" x14ac:dyDescent="0.3">
      <c r="A33" s="2" t="s">
        <v>14</v>
      </c>
      <c r="B33" s="2" t="s">
        <v>15</v>
      </c>
      <c r="C33" s="2" t="s">
        <v>16</v>
      </c>
      <c r="D33" s="2" t="str">
        <f>("078075")</f>
        <v>078075</v>
      </c>
      <c r="E33" s="2" t="str">
        <f>("622454780750")</f>
        <v>622454780750</v>
      </c>
      <c r="G33" s="2" t="s">
        <v>54</v>
      </c>
      <c r="H33" s="5">
        <v>738.48</v>
      </c>
      <c r="I33" s="2" t="s">
        <v>18</v>
      </c>
      <c r="J33" s="3">
        <v>43013</v>
      </c>
      <c r="K33" s="2">
        <v>7.5999999999999998E-2</v>
      </c>
      <c r="L33" s="2">
        <v>0.16800000000000001</v>
      </c>
      <c r="M33" s="2">
        <v>30</v>
      </c>
      <c r="N33" s="2" t="s">
        <v>49</v>
      </c>
    </row>
    <row r="34" spans="1:14" x14ac:dyDescent="0.3">
      <c r="A34" s="2" t="s">
        <v>14</v>
      </c>
      <c r="B34" s="2" t="s">
        <v>15</v>
      </c>
      <c r="C34" s="2" t="s">
        <v>16</v>
      </c>
      <c r="D34" s="2" t="str">
        <f>("078076")</f>
        <v>078076</v>
      </c>
      <c r="E34" s="2" t="str">
        <f>("622454780767")</f>
        <v>622454780767</v>
      </c>
      <c r="G34" s="2" t="s">
        <v>55</v>
      </c>
      <c r="H34" s="5">
        <v>1638.61</v>
      </c>
      <c r="I34" s="2" t="s">
        <v>18</v>
      </c>
      <c r="J34" s="3">
        <v>43013</v>
      </c>
      <c r="K34" s="2">
        <v>0.10299999999999999</v>
      </c>
      <c r="L34" s="2">
        <v>0.22700000000000001</v>
      </c>
      <c r="M34" s="2">
        <v>20</v>
      </c>
      <c r="N34" s="2" t="s">
        <v>56</v>
      </c>
    </row>
    <row r="35" spans="1:14" x14ac:dyDescent="0.3">
      <c r="A35" s="2" t="s">
        <v>14</v>
      </c>
      <c r="B35" s="2" t="s">
        <v>15</v>
      </c>
      <c r="C35" s="2" t="s">
        <v>16</v>
      </c>
      <c r="D35" s="2" t="str">
        <f>("078077")</f>
        <v>078077</v>
      </c>
      <c r="E35" s="2" t="str">
        <f>("622454780774")</f>
        <v>622454780774</v>
      </c>
      <c r="G35" s="2" t="s">
        <v>57</v>
      </c>
      <c r="H35" s="5">
        <v>2044.81</v>
      </c>
      <c r="I35" s="2" t="s">
        <v>18</v>
      </c>
      <c r="J35" s="3">
        <v>43013</v>
      </c>
      <c r="K35" s="2">
        <v>0.20300000000000001</v>
      </c>
      <c r="L35" s="2">
        <v>0.44800000000000001</v>
      </c>
      <c r="M35" s="2">
        <v>25</v>
      </c>
      <c r="N35" s="2" t="s">
        <v>56</v>
      </c>
    </row>
    <row r="36" spans="1:14" x14ac:dyDescent="0.3">
      <c r="A36" s="2" t="s">
        <v>14</v>
      </c>
      <c r="B36" s="2" t="s">
        <v>15</v>
      </c>
      <c r="C36" s="2" t="s">
        <v>16</v>
      </c>
      <c r="D36" s="2" t="str">
        <f>("078078")</f>
        <v>078078</v>
      </c>
      <c r="E36" s="2" t="str">
        <f>("622454780781")</f>
        <v>622454780781</v>
      </c>
      <c r="G36" s="2" t="s">
        <v>58</v>
      </c>
      <c r="H36" s="5">
        <v>2675.81</v>
      </c>
      <c r="I36" s="2" t="s">
        <v>18</v>
      </c>
      <c r="J36" s="3">
        <v>43013</v>
      </c>
      <c r="K36" s="2">
        <v>0.33</v>
      </c>
      <c r="L36" s="2">
        <v>0.72799999999999998</v>
      </c>
      <c r="M36" s="2">
        <v>20</v>
      </c>
      <c r="N36" s="2" t="s">
        <v>56</v>
      </c>
    </row>
    <row r="37" spans="1:14" x14ac:dyDescent="0.3">
      <c r="A37" s="2" t="s">
        <v>14</v>
      </c>
      <c r="B37" s="2" t="s">
        <v>15</v>
      </c>
      <c r="C37" s="2" t="s">
        <v>16</v>
      </c>
      <c r="D37" s="2" t="str">
        <f>("078079")</f>
        <v>078079</v>
      </c>
      <c r="E37" s="2" t="str">
        <f>("622454780798")</f>
        <v>622454780798</v>
      </c>
      <c r="G37" s="2" t="s">
        <v>59</v>
      </c>
      <c r="H37" s="5">
        <v>2741.61</v>
      </c>
      <c r="I37" s="2" t="s">
        <v>18</v>
      </c>
      <c r="J37" s="3">
        <v>43013</v>
      </c>
      <c r="K37" s="2">
        <v>0.29299999999999998</v>
      </c>
      <c r="L37" s="2">
        <v>0.64600000000000002</v>
      </c>
      <c r="M37" s="2">
        <v>15</v>
      </c>
      <c r="N37" s="2" t="s">
        <v>56</v>
      </c>
    </row>
    <row r="38" spans="1:14" x14ac:dyDescent="0.3">
      <c r="A38" s="2" t="s">
        <v>14</v>
      </c>
      <c r="B38" s="2" t="s">
        <v>15</v>
      </c>
      <c r="C38" s="2" t="s">
        <v>16</v>
      </c>
      <c r="D38" s="2" t="str">
        <f>("078080")</f>
        <v>078080</v>
      </c>
      <c r="E38" s="2" t="str">
        <f>("622454780804")</f>
        <v>622454780804</v>
      </c>
      <c r="G38" s="2" t="s">
        <v>60</v>
      </c>
      <c r="H38" s="5">
        <v>6819.05</v>
      </c>
      <c r="I38" s="2" t="s">
        <v>18</v>
      </c>
      <c r="J38" s="3">
        <v>43013</v>
      </c>
      <c r="K38" s="2">
        <v>0.5</v>
      </c>
      <c r="L38" s="2">
        <v>1.1020000000000001</v>
      </c>
      <c r="M38" s="2">
        <v>10</v>
      </c>
      <c r="N38" s="2" t="s">
        <v>56</v>
      </c>
    </row>
    <row r="39" spans="1:14" x14ac:dyDescent="0.3">
      <c r="A39" s="2" t="s">
        <v>14</v>
      </c>
      <c r="B39" s="2" t="s">
        <v>15</v>
      </c>
      <c r="C39" s="2" t="s">
        <v>16</v>
      </c>
      <c r="D39" s="2" t="str">
        <f>("078081")</f>
        <v>078081</v>
      </c>
      <c r="E39" s="2" t="str">
        <f>("622454780811")</f>
        <v>622454780811</v>
      </c>
      <c r="G39" s="2" t="s">
        <v>61</v>
      </c>
      <c r="H39" s="5">
        <v>9001.7900000000009</v>
      </c>
      <c r="I39" s="2" t="s">
        <v>18</v>
      </c>
      <c r="J39" s="3">
        <v>43013</v>
      </c>
      <c r="K39" s="2">
        <v>0.90900000000000003</v>
      </c>
      <c r="L39" s="2">
        <v>2.004</v>
      </c>
      <c r="M39" s="2">
        <v>6</v>
      </c>
      <c r="N39" s="2" t="s">
        <v>56</v>
      </c>
    </row>
    <row r="40" spans="1:14" x14ac:dyDescent="0.3">
      <c r="A40" s="2" t="s">
        <v>14</v>
      </c>
      <c r="B40" s="2" t="s">
        <v>15</v>
      </c>
      <c r="C40" s="2" t="s">
        <v>16</v>
      </c>
      <c r="D40" s="2" t="str">
        <f>("178189")</f>
        <v>178189</v>
      </c>
      <c r="E40" s="2" t="str">
        <f>("622454324916")</f>
        <v>622454324916</v>
      </c>
      <c r="G40" s="2" t="s">
        <v>62</v>
      </c>
      <c r="H40" s="5">
        <v>69328</v>
      </c>
      <c r="I40" s="2" t="s">
        <v>18</v>
      </c>
      <c r="J40" s="3">
        <v>43013</v>
      </c>
      <c r="K40" s="2">
        <v>1.724</v>
      </c>
      <c r="L40" s="2">
        <v>3.8010000000000002</v>
      </c>
      <c r="M40" s="2">
        <v>2</v>
      </c>
      <c r="N40" s="2" t="s">
        <v>56</v>
      </c>
    </row>
    <row r="41" spans="1:14" x14ac:dyDescent="0.3">
      <c r="A41" s="2" t="s">
        <v>14</v>
      </c>
      <c r="B41" s="2" t="s">
        <v>15</v>
      </c>
      <c r="C41" s="2" t="s">
        <v>16</v>
      </c>
      <c r="D41" s="2" t="str">
        <f>("078540")</f>
        <v>078540</v>
      </c>
      <c r="E41" s="2" t="str">
        <f>("622454785403")</f>
        <v>622454785403</v>
      </c>
      <c r="G41" s="2" t="s">
        <v>63</v>
      </c>
      <c r="H41" s="5">
        <v>433.17</v>
      </c>
      <c r="I41" s="2" t="s">
        <v>18</v>
      </c>
      <c r="J41" s="3">
        <v>43013</v>
      </c>
      <c r="K41" s="2">
        <v>6.0999999999999999E-2</v>
      </c>
      <c r="L41" s="2">
        <v>0.13400000000000001</v>
      </c>
      <c r="M41" s="2">
        <v>40</v>
      </c>
      <c r="N41" s="2" t="s">
        <v>64</v>
      </c>
    </row>
    <row r="42" spans="1:14" x14ac:dyDescent="0.3">
      <c r="A42" s="2" t="s">
        <v>14</v>
      </c>
      <c r="B42" s="2" t="s">
        <v>15</v>
      </c>
      <c r="C42" s="2" t="s">
        <v>16</v>
      </c>
      <c r="D42" s="2" t="str">
        <f>("078541")</f>
        <v>078541</v>
      </c>
      <c r="E42" s="2" t="str">
        <f>("622454785410")</f>
        <v>622454785410</v>
      </c>
      <c r="G42" s="2" t="s">
        <v>65</v>
      </c>
      <c r="H42" s="5">
        <v>485.73</v>
      </c>
      <c r="I42" s="2" t="s">
        <v>18</v>
      </c>
      <c r="J42" s="3">
        <v>43013</v>
      </c>
      <c r="K42" s="2">
        <v>0.104</v>
      </c>
      <c r="L42" s="2">
        <v>0.22900000000000001</v>
      </c>
      <c r="M42" s="2">
        <v>40</v>
      </c>
      <c r="N42" s="2" t="s">
        <v>64</v>
      </c>
    </row>
    <row r="43" spans="1:14" x14ac:dyDescent="0.3">
      <c r="A43" s="2" t="s">
        <v>14</v>
      </c>
      <c r="B43" s="2" t="s">
        <v>15</v>
      </c>
      <c r="C43" s="2" t="s">
        <v>16</v>
      </c>
      <c r="D43" s="2" t="str">
        <f>("078542")</f>
        <v>078542</v>
      </c>
      <c r="E43" s="2" t="str">
        <f>("622454785427")</f>
        <v>622454785427</v>
      </c>
      <c r="G43" s="2" t="s">
        <v>66</v>
      </c>
      <c r="H43" s="5">
        <v>757.51</v>
      </c>
      <c r="I43" s="2" t="s">
        <v>18</v>
      </c>
      <c r="J43" s="3">
        <v>43013</v>
      </c>
      <c r="K43" s="2">
        <v>0.17100000000000001</v>
      </c>
      <c r="L43" s="2">
        <v>0.377</v>
      </c>
      <c r="M43" s="2">
        <v>50</v>
      </c>
      <c r="N43" s="2" t="s">
        <v>64</v>
      </c>
    </row>
    <row r="44" spans="1:14" x14ac:dyDescent="0.3">
      <c r="A44" s="2" t="s">
        <v>14</v>
      </c>
      <c r="B44" s="2" t="s">
        <v>15</v>
      </c>
      <c r="C44" s="2" t="s">
        <v>16</v>
      </c>
      <c r="D44" s="2" t="str">
        <f>("078543")</f>
        <v>078543</v>
      </c>
      <c r="E44" s="2" t="str">
        <f>("622454785434")</f>
        <v>622454785434</v>
      </c>
      <c r="G44" s="2" t="s">
        <v>67</v>
      </c>
      <c r="H44" s="5">
        <v>1090.28</v>
      </c>
      <c r="I44" s="2" t="s">
        <v>18</v>
      </c>
      <c r="J44" s="3">
        <v>43013</v>
      </c>
      <c r="K44" s="2">
        <v>0.28799999999999998</v>
      </c>
      <c r="L44" s="2">
        <v>0.63500000000000001</v>
      </c>
      <c r="M44" s="2">
        <v>25</v>
      </c>
      <c r="N44" s="2" t="s">
        <v>64</v>
      </c>
    </row>
    <row r="45" spans="1:14" x14ac:dyDescent="0.3">
      <c r="A45" s="2" t="s">
        <v>14</v>
      </c>
      <c r="B45" s="2" t="s">
        <v>15</v>
      </c>
      <c r="C45" s="2" t="s">
        <v>16</v>
      </c>
      <c r="D45" s="2" t="str">
        <f>("078544")</f>
        <v>078544</v>
      </c>
      <c r="E45" s="2" t="str">
        <f>("622454785441")</f>
        <v>622454785441</v>
      </c>
      <c r="G45" s="2" t="s">
        <v>68</v>
      </c>
      <c r="H45" s="5">
        <v>1450.2</v>
      </c>
      <c r="I45" s="2" t="s">
        <v>18</v>
      </c>
      <c r="J45" s="3">
        <v>43013</v>
      </c>
      <c r="K45" s="2">
        <v>0.35099999999999998</v>
      </c>
      <c r="L45" s="2">
        <v>0.77400000000000002</v>
      </c>
      <c r="M45" s="2">
        <v>20</v>
      </c>
      <c r="N45" s="2" t="s">
        <v>64</v>
      </c>
    </row>
    <row r="46" spans="1:14" x14ac:dyDescent="0.3">
      <c r="A46" s="2" t="s">
        <v>14</v>
      </c>
      <c r="B46" s="2" t="s">
        <v>15</v>
      </c>
      <c r="C46" s="2" t="s">
        <v>16</v>
      </c>
      <c r="D46" s="2" t="str">
        <f>("078545")</f>
        <v>078545</v>
      </c>
      <c r="E46" s="2" t="str">
        <f>("622454785458")</f>
        <v>622454785458</v>
      </c>
      <c r="G46" s="2" t="s">
        <v>69</v>
      </c>
      <c r="H46" s="5">
        <v>1982.57</v>
      </c>
      <c r="I46" s="2" t="s">
        <v>18</v>
      </c>
      <c r="J46" s="3">
        <v>43013</v>
      </c>
      <c r="K46" s="2">
        <v>0.53200000000000003</v>
      </c>
      <c r="L46" s="2">
        <v>1.173</v>
      </c>
      <c r="M46" s="2">
        <v>15</v>
      </c>
      <c r="N46" s="2" t="s">
        <v>64</v>
      </c>
    </row>
    <row r="47" spans="1:14" x14ac:dyDescent="0.3">
      <c r="A47" s="2" t="s">
        <v>14</v>
      </c>
      <c r="B47" s="2" t="s">
        <v>15</v>
      </c>
      <c r="C47" s="2" t="s">
        <v>16</v>
      </c>
      <c r="D47" s="2" t="str">
        <f>("078546")</f>
        <v>078546</v>
      </c>
      <c r="E47" s="2" t="str">
        <f>("622454785465")</f>
        <v>622454785465</v>
      </c>
      <c r="G47" s="2" t="s">
        <v>70</v>
      </c>
      <c r="H47" s="5">
        <v>3460.88</v>
      </c>
      <c r="I47" s="2" t="s">
        <v>18</v>
      </c>
      <c r="J47" s="3">
        <v>43013</v>
      </c>
      <c r="K47" s="2">
        <v>1.125</v>
      </c>
      <c r="L47" s="2">
        <v>2.48</v>
      </c>
      <c r="M47" s="2">
        <v>200</v>
      </c>
      <c r="N47" s="2" t="s">
        <v>71</v>
      </c>
    </row>
    <row r="48" spans="1:14" x14ac:dyDescent="0.3">
      <c r="A48" s="2" t="s">
        <v>14</v>
      </c>
      <c r="B48" s="2" t="s">
        <v>15</v>
      </c>
      <c r="C48" s="2" t="s">
        <v>16</v>
      </c>
      <c r="D48" s="2" t="str">
        <f>("078547")</f>
        <v>078547</v>
      </c>
      <c r="E48" s="2" t="str">
        <f>("622454785472")</f>
        <v>622454785472</v>
      </c>
      <c r="G48" s="2" t="s">
        <v>72</v>
      </c>
      <c r="H48" s="5">
        <v>6120.37</v>
      </c>
      <c r="I48" s="2" t="s">
        <v>18</v>
      </c>
      <c r="J48" s="3">
        <v>43013</v>
      </c>
      <c r="K48" s="2">
        <v>1.7030000000000001</v>
      </c>
      <c r="L48" s="2">
        <v>3.754</v>
      </c>
      <c r="M48" s="2">
        <v>110</v>
      </c>
      <c r="N48" s="2" t="s">
        <v>71</v>
      </c>
    </row>
    <row r="49" spans="1:14" x14ac:dyDescent="0.3">
      <c r="A49" s="2" t="s">
        <v>14</v>
      </c>
      <c r="B49" s="2" t="s">
        <v>15</v>
      </c>
      <c r="C49" s="2" t="s">
        <v>16</v>
      </c>
      <c r="D49" s="2" t="str">
        <f>("078548")</f>
        <v>078548</v>
      </c>
      <c r="E49" s="2" t="str">
        <f>("622454785489")</f>
        <v>622454785489</v>
      </c>
      <c r="G49" s="2" t="s">
        <v>73</v>
      </c>
      <c r="H49" s="5">
        <v>8394.4</v>
      </c>
      <c r="I49" s="2" t="s">
        <v>18</v>
      </c>
      <c r="J49" s="3">
        <v>43013</v>
      </c>
      <c r="K49" s="2">
        <v>2.548</v>
      </c>
      <c r="L49" s="2">
        <v>5.617</v>
      </c>
      <c r="M49" s="2">
        <v>70</v>
      </c>
      <c r="N49" s="2" t="s">
        <v>71</v>
      </c>
    </row>
    <row r="50" spans="1:14" x14ac:dyDescent="0.3">
      <c r="A50" s="2" t="s">
        <v>14</v>
      </c>
      <c r="B50" s="2" t="s">
        <v>15</v>
      </c>
      <c r="C50" s="2" t="s">
        <v>16</v>
      </c>
      <c r="D50" s="2" t="str">
        <f>("078549")</f>
        <v>078549</v>
      </c>
      <c r="E50" s="2" t="str">
        <f>("622454785496")</f>
        <v>622454785496</v>
      </c>
      <c r="G50" s="2" t="s">
        <v>74</v>
      </c>
      <c r="H50" s="5">
        <v>10501.25</v>
      </c>
      <c r="I50" s="2" t="s">
        <v>18</v>
      </c>
      <c r="J50" s="3">
        <v>43013</v>
      </c>
      <c r="K50" s="2">
        <v>3.0569999999999999</v>
      </c>
      <c r="L50" s="2">
        <v>6.74</v>
      </c>
      <c r="M50" s="2">
        <v>54</v>
      </c>
      <c r="N50" s="2" t="s">
        <v>71</v>
      </c>
    </row>
    <row r="51" spans="1:14" x14ac:dyDescent="0.3">
      <c r="A51" s="2" t="s">
        <v>14</v>
      </c>
      <c r="B51" s="2" t="s">
        <v>15</v>
      </c>
      <c r="C51" s="2" t="s">
        <v>16</v>
      </c>
      <c r="D51" s="2" t="str">
        <f>("078550")</f>
        <v>078550</v>
      </c>
      <c r="E51" s="2" t="str">
        <f>("622454785502")</f>
        <v>622454785502</v>
      </c>
      <c r="G51" s="2" t="s">
        <v>75</v>
      </c>
      <c r="H51" s="5">
        <v>18474.52</v>
      </c>
      <c r="I51" s="2" t="s">
        <v>18</v>
      </c>
      <c r="J51" s="3">
        <v>43013</v>
      </c>
      <c r="K51" s="2">
        <v>5.3129999999999997</v>
      </c>
      <c r="L51" s="2">
        <v>11.712999999999999</v>
      </c>
      <c r="M51" s="2">
        <v>25</v>
      </c>
      <c r="N51" s="2" t="s">
        <v>71</v>
      </c>
    </row>
    <row r="52" spans="1:14" x14ac:dyDescent="0.3">
      <c r="A52" s="2" t="s">
        <v>14</v>
      </c>
      <c r="B52" s="2" t="s">
        <v>15</v>
      </c>
      <c r="C52" s="2" t="s">
        <v>16</v>
      </c>
      <c r="D52" s="2" t="str">
        <f>("078551")</f>
        <v>078551</v>
      </c>
      <c r="E52" s="2" t="str">
        <f>("622454785519")</f>
        <v>622454785519</v>
      </c>
      <c r="G52" s="2" t="s">
        <v>76</v>
      </c>
      <c r="H52" s="5">
        <v>31305.49</v>
      </c>
      <c r="I52" s="2" t="s">
        <v>18</v>
      </c>
      <c r="J52" s="3">
        <v>43013</v>
      </c>
      <c r="K52" s="2">
        <v>9.2899999999999991</v>
      </c>
      <c r="L52" s="2">
        <v>20.481000000000002</v>
      </c>
      <c r="M52" s="2">
        <v>25</v>
      </c>
      <c r="N52" s="2" t="s">
        <v>71</v>
      </c>
    </row>
    <row r="53" spans="1:14" x14ac:dyDescent="0.3">
      <c r="A53" s="2" t="s">
        <v>14</v>
      </c>
      <c r="B53" s="2" t="s">
        <v>15</v>
      </c>
      <c r="C53" s="2" t="s">
        <v>16</v>
      </c>
      <c r="D53" s="2" t="str">
        <f>("078552")</f>
        <v>078552</v>
      </c>
      <c r="E53" s="2" t="str">
        <f>("622454785526")</f>
        <v>622454785526</v>
      </c>
      <c r="G53" s="2" t="s">
        <v>77</v>
      </c>
      <c r="H53" s="5">
        <v>411.63</v>
      </c>
      <c r="I53" s="2" t="s">
        <v>18</v>
      </c>
      <c r="J53" s="3">
        <v>43013</v>
      </c>
      <c r="K53" s="2">
        <v>3.9E-2</v>
      </c>
      <c r="L53" s="2">
        <v>8.5999999999999993E-2</v>
      </c>
      <c r="M53" s="2">
        <v>50</v>
      </c>
      <c r="N53" s="2" t="s">
        <v>78</v>
      </c>
    </row>
    <row r="54" spans="1:14" x14ac:dyDescent="0.3">
      <c r="A54" s="2" t="s">
        <v>14</v>
      </c>
      <c r="B54" s="2" t="s">
        <v>15</v>
      </c>
      <c r="C54" s="2" t="s">
        <v>16</v>
      </c>
      <c r="D54" s="2" t="str">
        <f>("078553")</f>
        <v>078553</v>
      </c>
      <c r="E54" s="2" t="str">
        <f>("622454785533")</f>
        <v>622454785533</v>
      </c>
      <c r="G54" s="2" t="s">
        <v>79</v>
      </c>
      <c r="H54" s="5">
        <v>445.71</v>
      </c>
      <c r="I54" s="2" t="s">
        <v>18</v>
      </c>
      <c r="J54" s="3">
        <v>43013</v>
      </c>
      <c r="K54" s="2">
        <v>5.6000000000000001E-2</v>
      </c>
      <c r="L54" s="2">
        <v>0.123</v>
      </c>
      <c r="M54" s="2">
        <v>50</v>
      </c>
      <c r="N54" s="2" t="s">
        <v>78</v>
      </c>
    </row>
    <row r="55" spans="1:14" x14ac:dyDescent="0.3">
      <c r="A55" s="2" t="s">
        <v>14</v>
      </c>
      <c r="B55" s="2" t="s">
        <v>15</v>
      </c>
      <c r="C55" s="2" t="s">
        <v>16</v>
      </c>
      <c r="D55" s="2" t="str">
        <f>("078554")</f>
        <v>078554</v>
      </c>
      <c r="E55" s="2" t="str">
        <f>("622454785540")</f>
        <v>622454785540</v>
      </c>
      <c r="G55" s="2" t="s">
        <v>80</v>
      </c>
      <c r="H55" s="5">
        <v>709.35</v>
      </c>
      <c r="I55" s="2" t="s">
        <v>18</v>
      </c>
      <c r="J55" s="3">
        <v>43013</v>
      </c>
      <c r="K55" s="2">
        <v>0.105</v>
      </c>
      <c r="L55" s="2">
        <v>0.23100000000000001</v>
      </c>
      <c r="M55" s="2">
        <v>50</v>
      </c>
      <c r="N55" s="2" t="s">
        <v>78</v>
      </c>
    </row>
    <row r="56" spans="1:14" x14ac:dyDescent="0.3">
      <c r="A56" s="2" t="s">
        <v>14</v>
      </c>
      <c r="B56" s="2" t="s">
        <v>15</v>
      </c>
      <c r="C56" s="2" t="s">
        <v>16</v>
      </c>
      <c r="D56" s="2" t="str">
        <f>("078555")</f>
        <v>078555</v>
      </c>
      <c r="E56" s="2" t="str">
        <f>("622454785557")</f>
        <v>622454785557</v>
      </c>
      <c r="G56" s="2" t="s">
        <v>81</v>
      </c>
      <c r="H56" s="5">
        <v>992.29</v>
      </c>
      <c r="I56" s="2" t="s">
        <v>18</v>
      </c>
      <c r="J56" s="3">
        <v>43013</v>
      </c>
      <c r="K56" s="2">
        <v>0.16800000000000001</v>
      </c>
      <c r="L56" s="2">
        <v>0.37</v>
      </c>
      <c r="M56" s="2">
        <v>35</v>
      </c>
      <c r="N56" s="2" t="s">
        <v>78</v>
      </c>
    </row>
    <row r="57" spans="1:14" x14ac:dyDescent="0.3">
      <c r="A57" s="2" t="s">
        <v>14</v>
      </c>
      <c r="B57" s="2" t="s">
        <v>15</v>
      </c>
      <c r="C57" s="2" t="s">
        <v>16</v>
      </c>
      <c r="D57" s="2" t="str">
        <f>("078556")</f>
        <v>078556</v>
      </c>
      <c r="E57" s="2" t="str">
        <f>("622454785564")</f>
        <v>622454785564</v>
      </c>
      <c r="G57" s="2" t="s">
        <v>82</v>
      </c>
      <c r="H57" s="5">
        <v>1353.51</v>
      </c>
      <c r="I57" s="2" t="s">
        <v>18</v>
      </c>
      <c r="J57" s="3">
        <v>43013</v>
      </c>
      <c r="K57" s="2">
        <v>0.23400000000000001</v>
      </c>
      <c r="L57" s="2">
        <v>0.51600000000000001</v>
      </c>
      <c r="M57" s="2">
        <v>20</v>
      </c>
      <c r="N57" s="2" t="s">
        <v>78</v>
      </c>
    </row>
    <row r="58" spans="1:14" x14ac:dyDescent="0.3">
      <c r="A58" s="2" t="s">
        <v>14</v>
      </c>
      <c r="B58" s="2" t="s">
        <v>15</v>
      </c>
      <c r="C58" s="2" t="s">
        <v>16</v>
      </c>
      <c r="D58" s="2" t="str">
        <f>("078557")</f>
        <v>078557</v>
      </c>
      <c r="E58" s="2" t="str">
        <f>("622454785571")</f>
        <v>622454785571</v>
      </c>
      <c r="G58" s="2" t="s">
        <v>83</v>
      </c>
      <c r="H58" s="5">
        <v>1877.63</v>
      </c>
      <c r="I58" s="2" t="s">
        <v>18</v>
      </c>
      <c r="J58" s="3">
        <v>43013</v>
      </c>
      <c r="K58" s="2">
        <v>0.32</v>
      </c>
      <c r="L58" s="2">
        <v>0.70499999999999996</v>
      </c>
      <c r="M58" s="2">
        <v>15</v>
      </c>
      <c r="N58" s="2" t="s">
        <v>78</v>
      </c>
    </row>
    <row r="59" spans="1:14" x14ac:dyDescent="0.3">
      <c r="A59" s="2" t="s">
        <v>14</v>
      </c>
      <c r="B59" s="2" t="s">
        <v>15</v>
      </c>
      <c r="C59" s="2" t="s">
        <v>16</v>
      </c>
      <c r="D59" s="2" t="str">
        <f>("078558")</f>
        <v>078558</v>
      </c>
      <c r="E59" s="2" t="str">
        <f>("622454785588")</f>
        <v>622454785588</v>
      </c>
      <c r="G59" s="2" t="s">
        <v>84</v>
      </c>
      <c r="H59" s="5">
        <v>3646.38</v>
      </c>
      <c r="I59" s="2" t="s">
        <v>18</v>
      </c>
      <c r="J59" s="3">
        <v>43013</v>
      </c>
      <c r="K59" s="2">
        <v>0.64300000000000002</v>
      </c>
      <c r="L59" s="2">
        <v>1.4179999999999999</v>
      </c>
      <c r="M59" s="2">
        <v>20</v>
      </c>
      <c r="N59" s="2" t="s">
        <v>85</v>
      </c>
    </row>
    <row r="60" spans="1:14" x14ac:dyDescent="0.3">
      <c r="A60" s="2" t="s">
        <v>14</v>
      </c>
      <c r="B60" s="2" t="s">
        <v>15</v>
      </c>
      <c r="C60" s="2" t="s">
        <v>16</v>
      </c>
      <c r="D60" s="2" t="str">
        <f>("078559")</f>
        <v>078559</v>
      </c>
      <c r="E60" s="2" t="str">
        <f>("622454785595")</f>
        <v>622454785595</v>
      </c>
      <c r="G60" s="2" t="s">
        <v>86</v>
      </c>
      <c r="H60" s="5">
        <v>5833.39</v>
      </c>
      <c r="I60" s="2" t="s">
        <v>18</v>
      </c>
      <c r="J60" s="3">
        <v>43013</v>
      </c>
      <c r="K60" s="2">
        <v>1.135</v>
      </c>
      <c r="L60" s="2">
        <v>2.5019999999999998</v>
      </c>
      <c r="M60" s="2">
        <v>25</v>
      </c>
      <c r="N60" s="2" t="s">
        <v>85</v>
      </c>
    </row>
    <row r="61" spans="1:14" x14ac:dyDescent="0.3">
      <c r="A61" s="2" t="s">
        <v>14</v>
      </c>
      <c r="B61" s="2" t="s">
        <v>15</v>
      </c>
      <c r="C61" s="2" t="s">
        <v>16</v>
      </c>
      <c r="D61" s="2" t="str">
        <f>("078560")</f>
        <v>078560</v>
      </c>
      <c r="E61" s="2" t="str">
        <f>("622454785601")</f>
        <v>622454785601</v>
      </c>
      <c r="G61" s="2" t="s">
        <v>87</v>
      </c>
      <c r="H61" s="5">
        <v>6857.52</v>
      </c>
      <c r="I61" s="2" t="s">
        <v>18</v>
      </c>
      <c r="J61" s="3">
        <v>43013</v>
      </c>
      <c r="K61" s="2">
        <v>1.274</v>
      </c>
      <c r="L61" s="2">
        <v>2.8090000000000002</v>
      </c>
      <c r="M61" s="2">
        <v>180</v>
      </c>
      <c r="N61" s="2" t="s">
        <v>85</v>
      </c>
    </row>
    <row r="62" spans="1:14" x14ac:dyDescent="0.3">
      <c r="A62" s="2" t="s">
        <v>14</v>
      </c>
      <c r="B62" s="2" t="s">
        <v>15</v>
      </c>
      <c r="C62" s="2" t="s">
        <v>16</v>
      </c>
      <c r="D62" s="2" t="str">
        <f>("078561")</f>
        <v>078561</v>
      </c>
      <c r="E62" s="2" t="str">
        <f>("622454785618")</f>
        <v>622454785618</v>
      </c>
      <c r="G62" s="2" t="s">
        <v>88</v>
      </c>
      <c r="H62" s="5">
        <v>10121.719999999999</v>
      </c>
      <c r="I62" s="2" t="s">
        <v>18</v>
      </c>
      <c r="J62" s="3">
        <v>43013</v>
      </c>
      <c r="K62" s="2">
        <v>1.871</v>
      </c>
      <c r="L62" s="2">
        <v>4.125</v>
      </c>
      <c r="M62" s="2">
        <v>126</v>
      </c>
      <c r="N62" s="2" t="s">
        <v>85</v>
      </c>
    </row>
    <row r="63" spans="1:14" x14ac:dyDescent="0.3">
      <c r="A63" s="2" t="s">
        <v>14</v>
      </c>
      <c r="B63" s="2" t="s">
        <v>15</v>
      </c>
      <c r="C63" s="2" t="s">
        <v>16</v>
      </c>
      <c r="D63" s="2" t="str">
        <f>("078562")</f>
        <v>078562</v>
      </c>
      <c r="E63" s="2" t="str">
        <f>("622454785625")</f>
        <v>622454785625</v>
      </c>
      <c r="G63" s="2" t="s">
        <v>89</v>
      </c>
      <c r="H63" s="5">
        <v>16246.66</v>
      </c>
      <c r="I63" s="2" t="s">
        <v>18</v>
      </c>
      <c r="J63" s="3">
        <v>43013</v>
      </c>
      <c r="K63" s="2">
        <v>3.5419999999999998</v>
      </c>
      <c r="L63" s="2">
        <v>7.8090000000000002</v>
      </c>
      <c r="M63" s="2">
        <v>50</v>
      </c>
      <c r="N63" s="2" t="s">
        <v>85</v>
      </c>
    </row>
    <row r="64" spans="1:14" x14ac:dyDescent="0.3">
      <c r="A64" s="2" t="s">
        <v>14</v>
      </c>
      <c r="B64" s="2" t="s">
        <v>15</v>
      </c>
      <c r="C64" s="2" t="s">
        <v>16</v>
      </c>
      <c r="D64" s="2" t="str">
        <f>("078563")</f>
        <v>078563</v>
      </c>
      <c r="E64" s="2" t="str">
        <f>("622454785632")</f>
        <v>622454785632</v>
      </c>
      <c r="G64" s="2" t="s">
        <v>90</v>
      </c>
      <c r="H64" s="5">
        <v>23701.62</v>
      </c>
      <c r="I64" s="2" t="s">
        <v>18</v>
      </c>
      <c r="J64" s="3">
        <v>43013</v>
      </c>
      <c r="K64" s="2">
        <v>5.6609999999999996</v>
      </c>
      <c r="L64" s="2">
        <v>12.48</v>
      </c>
      <c r="M64" s="2">
        <v>30</v>
      </c>
      <c r="N64" s="2" t="s">
        <v>85</v>
      </c>
    </row>
    <row r="65" spans="1:14" x14ac:dyDescent="0.3">
      <c r="A65" s="2" t="s">
        <v>14</v>
      </c>
      <c r="B65" s="2" t="s">
        <v>15</v>
      </c>
      <c r="C65" s="2" t="s">
        <v>16</v>
      </c>
      <c r="D65" s="2" t="str">
        <f>("078564")</f>
        <v>078564</v>
      </c>
      <c r="E65" s="2" t="str">
        <f>("622454785649")</f>
        <v>622454785649</v>
      </c>
      <c r="G65" s="2" t="s">
        <v>91</v>
      </c>
      <c r="H65" s="5">
        <v>568.54</v>
      </c>
      <c r="I65" s="2" t="s">
        <v>18</v>
      </c>
      <c r="J65" s="3">
        <v>43013</v>
      </c>
      <c r="K65" s="2">
        <v>3.2000000000000001E-2</v>
      </c>
      <c r="L65" s="2">
        <v>7.0999999999999994E-2</v>
      </c>
      <c r="M65" s="2">
        <v>50</v>
      </c>
      <c r="N65" s="2" t="s">
        <v>92</v>
      </c>
    </row>
    <row r="66" spans="1:14" x14ac:dyDescent="0.3">
      <c r="A66" s="2" t="s">
        <v>14</v>
      </c>
      <c r="B66" s="2" t="s">
        <v>15</v>
      </c>
      <c r="C66" s="2" t="s">
        <v>16</v>
      </c>
      <c r="D66" s="2" t="str">
        <f>("078565")</f>
        <v>078565</v>
      </c>
      <c r="E66" s="2" t="str">
        <f>("622454785656")</f>
        <v>622454785656</v>
      </c>
      <c r="G66" s="2" t="s">
        <v>93</v>
      </c>
      <c r="H66" s="5">
        <v>589.04999999999995</v>
      </c>
      <c r="I66" s="2" t="s">
        <v>18</v>
      </c>
      <c r="J66" s="3">
        <v>43013</v>
      </c>
      <c r="K66" s="2">
        <v>4.9000000000000002E-2</v>
      </c>
      <c r="L66" s="2">
        <v>0.108</v>
      </c>
      <c r="M66" s="2">
        <v>25</v>
      </c>
      <c r="N66" s="2" t="s">
        <v>92</v>
      </c>
    </row>
    <row r="67" spans="1:14" x14ac:dyDescent="0.3">
      <c r="A67" s="2" t="s">
        <v>14</v>
      </c>
      <c r="B67" s="2" t="s">
        <v>15</v>
      </c>
      <c r="C67" s="2" t="s">
        <v>16</v>
      </c>
      <c r="D67" s="2" t="str">
        <f>("068622")</f>
        <v>068622</v>
      </c>
      <c r="E67" s="2" t="str">
        <f>("622454686229")</f>
        <v>622454686229</v>
      </c>
      <c r="G67" s="2" t="s">
        <v>94</v>
      </c>
      <c r="H67" s="5">
        <v>716.3</v>
      </c>
      <c r="I67" s="2" t="s">
        <v>18</v>
      </c>
      <c r="J67" s="3">
        <v>43013</v>
      </c>
      <c r="K67" s="2">
        <v>8.5000000000000006E-2</v>
      </c>
      <c r="L67" s="2">
        <v>0.187</v>
      </c>
      <c r="M67" s="2">
        <v>25</v>
      </c>
      <c r="N67" s="2" t="s">
        <v>92</v>
      </c>
    </row>
    <row r="68" spans="1:14" x14ac:dyDescent="0.3">
      <c r="A68" s="2" t="s">
        <v>14</v>
      </c>
      <c r="B68" s="2" t="s">
        <v>15</v>
      </c>
      <c r="C68" s="2" t="s">
        <v>16</v>
      </c>
      <c r="D68" s="2" t="str">
        <f>("078567")</f>
        <v>078567</v>
      </c>
      <c r="E68" s="2" t="str">
        <f>("622454785670")</f>
        <v>622454785670</v>
      </c>
      <c r="G68" s="2" t="s">
        <v>95</v>
      </c>
      <c r="H68" s="5">
        <v>1006.28</v>
      </c>
      <c r="I68" s="2" t="s">
        <v>18</v>
      </c>
      <c r="J68" s="3">
        <v>43013</v>
      </c>
      <c r="K68" s="2">
        <v>0.13400000000000001</v>
      </c>
      <c r="L68" s="2">
        <v>0.29499999999999998</v>
      </c>
      <c r="M68" s="2">
        <v>20</v>
      </c>
      <c r="N68" s="2" t="s">
        <v>92</v>
      </c>
    </row>
    <row r="69" spans="1:14" x14ac:dyDescent="0.3">
      <c r="A69" s="2" t="s">
        <v>14</v>
      </c>
      <c r="B69" s="2" t="s">
        <v>15</v>
      </c>
      <c r="C69" s="2" t="s">
        <v>16</v>
      </c>
      <c r="D69" s="2" t="str">
        <f>("078568")</f>
        <v>078568</v>
      </c>
      <c r="E69" s="2" t="str">
        <f>("622454785687")</f>
        <v>622454785687</v>
      </c>
      <c r="G69" s="2" t="s">
        <v>96</v>
      </c>
      <c r="H69" s="5">
        <v>1382.55</v>
      </c>
      <c r="I69" s="2" t="s">
        <v>18</v>
      </c>
      <c r="J69" s="3">
        <v>43013</v>
      </c>
      <c r="K69" s="2">
        <v>0.17599999999999999</v>
      </c>
      <c r="L69" s="2">
        <v>0.38800000000000001</v>
      </c>
      <c r="M69" s="2">
        <v>25</v>
      </c>
      <c r="N69" s="2" t="s">
        <v>92</v>
      </c>
    </row>
    <row r="70" spans="1:14" x14ac:dyDescent="0.3">
      <c r="A70" s="2" t="s">
        <v>14</v>
      </c>
      <c r="B70" s="2" t="s">
        <v>15</v>
      </c>
      <c r="C70" s="2" t="s">
        <v>16</v>
      </c>
      <c r="D70" s="2" t="str">
        <f>("078569")</f>
        <v>078569</v>
      </c>
      <c r="E70" s="2" t="str">
        <f>("622454785694")</f>
        <v>622454785694</v>
      </c>
      <c r="G70" s="2" t="s">
        <v>97</v>
      </c>
      <c r="H70" s="5">
        <v>2028.96</v>
      </c>
      <c r="I70" s="2" t="s">
        <v>18</v>
      </c>
      <c r="J70" s="3">
        <v>43013</v>
      </c>
      <c r="K70" s="2">
        <v>0.26600000000000001</v>
      </c>
      <c r="L70" s="2">
        <v>0.58599999999999997</v>
      </c>
      <c r="M70" s="2">
        <v>15</v>
      </c>
      <c r="N70" s="2" t="s">
        <v>92</v>
      </c>
    </row>
    <row r="71" spans="1:14" x14ac:dyDescent="0.3">
      <c r="A71" s="2" t="s">
        <v>14</v>
      </c>
      <c r="B71" s="2" t="s">
        <v>15</v>
      </c>
      <c r="C71" s="2" t="s">
        <v>16</v>
      </c>
      <c r="D71" s="2" t="str">
        <f>("078570")</f>
        <v>078570</v>
      </c>
      <c r="E71" s="2" t="str">
        <f>("622454785700")</f>
        <v>622454785700</v>
      </c>
      <c r="G71" s="2" t="s">
        <v>98</v>
      </c>
      <c r="H71" s="5">
        <v>3849.64</v>
      </c>
      <c r="I71" s="2" t="s">
        <v>18</v>
      </c>
      <c r="J71" s="3">
        <v>43013</v>
      </c>
      <c r="K71" s="2">
        <v>0.56299999999999994</v>
      </c>
      <c r="L71" s="2">
        <v>1.2410000000000001</v>
      </c>
      <c r="M71" s="2">
        <v>10</v>
      </c>
      <c r="N71" s="2" t="s">
        <v>92</v>
      </c>
    </row>
    <row r="72" spans="1:14" x14ac:dyDescent="0.3">
      <c r="A72" s="2" t="s">
        <v>14</v>
      </c>
      <c r="B72" s="2" t="s">
        <v>15</v>
      </c>
      <c r="C72" s="2" t="s">
        <v>16</v>
      </c>
      <c r="D72" s="2" t="str">
        <f>("078571")</f>
        <v>078571</v>
      </c>
      <c r="E72" s="2" t="str">
        <f>("622454785717")</f>
        <v>622454785717</v>
      </c>
      <c r="G72" s="2" t="s">
        <v>99</v>
      </c>
      <c r="H72" s="5">
        <v>6557.72</v>
      </c>
      <c r="I72" s="2" t="s">
        <v>18</v>
      </c>
      <c r="J72" s="3">
        <v>43013</v>
      </c>
      <c r="K72" s="2">
        <v>1.206</v>
      </c>
      <c r="L72" s="2">
        <v>2.6589999999999998</v>
      </c>
      <c r="M72" s="2">
        <v>15</v>
      </c>
      <c r="N72" s="2" t="s">
        <v>92</v>
      </c>
    </row>
    <row r="73" spans="1:14" x14ac:dyDescent="0.3">
      <c r="A73" s="2" t="s">
        <v>14</v>
      </c>
      <c r="B73" s="2" t="s">
        <v>15</v>
      </c>
      <c r="C73" s="2" t="s">
        <v>16</v>
      </c>
      <c r="D73" s="2" t="str">
        <f>("078572")</f>
        <v>078572</v>
      </c>
      <c r="E73" s="2" t="str">
        <f>("622454785724")</f>
        <v>622454785724</v>
      </c>
      <c r="G73" s="2" t="s">
        <v>100</v>
      </c>
      <c r="H73" s="5">
        <v>7420.74</v>
      </c>
      <c r="I73" s="2" t="s">
        <v>18</v>
      </c>
      <c r="J73" s="3">
        <v>43013</v>
      </c>
      <c r="K73" s="2">
        <v>1.5289999999999999</v>
      </c>
      <c r="L73" s="2">
        <v>3.371</v>
      </c>
      <c r="M73" s="2">
        <v>15</v>
      </c>
      <c r="N73" s="2" t="s">
        <v>92</v>
      </c>
    </row>
    <row r="74" spans="1:14" x14ac:dyDescent="0.3">
      <c r="A74" s="2" t="s">
        <v>14</v>
      </c>
      <c r="B74" s="2" t="s">
        <v>15</v>
      </c>
      <c r="C74" s="2" t="s">
        <v>16</v>
      </c>
      <c r="D74" s="2" t="str">
        <f>("078573")</f>
        <v>078573</v>
      </c>
      <c r="E74" s="2" t="str">
        <f>("622454785731")</f>
        <v>622454785731</v>
      </c>
      <c r="G74" s="2" t="s">
        <v>101</v>
      </c>
      <c r="H74" s="5">
        <v>10934.83</v>
      </c>
      <c r="I74" s="2" t="s">
        <v>18</v>
      </c>
      <c r="J74" s="3">
        <v>43013</v>
      </c>
      <c r="K74" s="2">
        <v>1.56</v>
      </c>
      <c r="L74" s="2">
        <v>3.4390000000000001</v>
      </c>
      <c r="M74" s="2">
        <v>12</v>
      </c>
      <c r="N74" s="2" t="s">
        <v>92</v>
      </c>
    </row>
    <row r="75" spans="1:14" x14ac:dyDescent="0.3">
      <c r="A75" s="2" t="s">
        <v>14</v>
      </c>
      <c r="B75" s="2" t="s">
        <v>15</v>
      </c>
      <c r="C75" s="2" t="s">
        <v>16</v>
      </c>
      <c r="D75" s="2" t="str">
        <f>("078574")</f>
        <v>078574</v>
      </c>
      <c r="E75" s="2" t="str">
        <f>("622454785748")</f>
        <v>622454785748</v>
      </c>
      <c r="G75" s="2" t="s">
        <v>102</v>
      </c>
      <c r="H75" s="5">
        <v>17541.580000000002</v>
      </c>
      <c r="I75" s="2" t="s">
        <v>18</v>
      </c>
      <c r="J75" s="3">
        <v>43013</v>
      </c>
      <c r="K75" s="2">
        <v>3.9489999999999998</v>
      </c>
      <c r="L75" s="2">
        <v>8.7059999999999995</v>
      </c>
      <c r="M75" s="2">
        <v>50</v>
      </c>
      <c r="N75" s="2" t="s">
        <v>92</v>
      </c>
    </row>
    <row r="76" spans="1:14" x14ac:dyDescent="0.3">
      <c r="A76" s="2" t="s">
        <v>14</v>
      </c>
      <c r="B76" s="2" t="s">
        <v>15</v>
      </c>
      <c r="C76" s="2" t="s">
        <v>16</v>
      </c>
      <c r="D76" s="2" t="str">
        <f>("078575")</f>
        <v>078575</v>
      </c>
      <c r="E76" s="2" t="str">
        <f>("622454785755")</f>
        <v>622454785755</v>
      </c>
      <c r="G76" s="2" t="s">
        <v>103</v>
      </c>
      <c r="H76" s="5">
        <v>20456.580000000002</v>
      </c>
      <c r="I76" s="2" t="s">
        <v>18</v>
      </c>
      <c r="J76" s="3">
        <v>43013</v>
      </c>
      <c r="K76" s="2">
        <v>6.1929999999999996</v>
      </c>
      <c r="L76" s="2">
        <v>13.653</v>
      </c>
      <c r="M76" s="2">
        <v>30</v>
      </c>
      <c r="N76" s="2" t="s">
        <v>92</v>
      </c>
    </row>
    <row r="77" spans="1:14" x14ac:dyDescent="0.3">
      <c r="A77" s="2" t="s">
        <v>14</v>
      </c>
      <c r="B77" s="2" t="s">
        <v>15</v>
      </c>
      <c r="C77" s="2" t="s">
        <v>16</v>
      </c>
      <c r="D77" s="2" t="str">
        <f>("078580")</f>
        <v>078580</v>
      </c>
      <c r="E77" s="2" t="str">
        <f>("622454785809")</f>
        <v>622454785809</v>
      </c>
      <c r="G77" s="2" t="s">
        <v>104</v>
      </c>
      <c r="H77" s="5">
        <v>3629.12</v>
      </c>
      <c r="I77" s="2" t="s">
        <v>18</v>
      </c>
      <c r="J77" s="3">
        <v>43013</v>
      </c>
      <c r="K77" s="2">
        <v>0.2</v>
      </c>
      <c r="L77" s="2">
        <v>0.441</v>
      </c>
      <c r="M77" s="2">
        <v>25</v>
      </c>
      <c r="N77" s="2" t="s">
        <v>105</v>
      </c>
    </row>
    <row r="78" spans="1:14" x14ac:dyDescent="0.3">
      <c r="A78" s="2" t="s">
        <v>14</v>
      </c>
      <c r="B78" s="2" t="s">
        <v>15</v>
      </c>
      <c r="C78" s="2" t="s">
        <v>16</v>
      </c>
      <c r="D78" s="2" t="str">
        <f>("078581")</f>
        <v>078581</v>
      </c>
      <c r="E78" s="2" t="str">
        <f>("622454785816")</f>
        <v>622454785816</v>
      </c>
      <c r="G78" s="2" t="s">
        <v>106</v>
      </c>
      <c r="H78" s="5">
        <v>5830.38</v>
      </c>
      <c r="I78" s="2" t="s">
        <v>18</v>
      </c>
      <c r="J78" s="3">
        <v>43013</v>
      </c>
      <c r="K78" s="2">
        <v>0.33800000000000002</v>
      </c>
      <c r="L78" s="2">
        <v>0.745</v>
      </c>
      <c r="M78" s="2">
        <v>20</v>
      </c>
      <c r="N78" s="2" t="s">
        <v>105</v>
      </c>
    </row>
    <row r="79" spans="1:14" x14ac:dyDescent="0.3">
      <c r="A79" s="2" t="s">
        <v>14</v>
      </c>
      <c r="B79" s="2" t="s">
        <v>15</v>
      </c>
      <c r="C79" s="2" t="s">
        <v>16</v>
      </c>
      <c r="D79" s="2" t="str">
        <f>("078582")</f>
        <v>078582</v>
      </c>
      <c r="E79" s="2" t="str">
        <f>("622454785823")</f>
        <v>622454785823</v>
      </c>
      <c r="G79" s="2" t="s">
        <v>107</v>
      </c>
      <c r="H79" s="5">
        <v>9507.17</v>
      </c>
      <c r="I79" s="2" t="s">
        <v>18</v>
      </c>
      <c r="J79" s="3">
        <v>43013</v>
      </c>
      <c r="K79" s="2">
        <v>0.56599999999999995</v>
      </c>
      <c r="L79" s="2">
        <v>1.248</v>
      </c>
      <c r="M79" s="2">
        <v>25</v>
      </c>
      <c r="N79" s="2" t="s">
        <v>105</v>
      </c>
    </row>
    <row r="80" spans="1:14" x14ac:dyDescent="0.3">
      <c r="A80" s="2" t="s">
        <v>14</v>
      </c>
      <c r="B80" s="2" t="s">
        <v>15</v>
      </c>
      <c r="C80" s="2" t="s">
        <v>16</v>
      </c>
      <c r="D80" s="2" t="str">
        <f>("078583")</f>
        <v>078583</v>
      </c>
      <c r="E80" s="2" t="str">
        <f>("622454785830")</f>
        <v>622454785830</v>
      </c>
      <c r="G80" s="2" t="s">
        <v>108</v>
      </c>
      <c r="H80" s="5">
        <v>12324.71</v>
      </c>
      <c r="I80" s="2" t="s">
        <v>18</v>
      </c>
      <c r="J80" s="3">
        <v>43013</v>
      </c>
      <c r="K80" s="2">
        <v>0.85099999999999998</v>
      </c>
      <c r="L80" s="2">
        <v>1.8759999999999999</v>
      </c>
      <c r="M80" s="2">
        <v>20</v>
      </c>
      <c r="N80" s="2" t="s">
        <v>105</v>
      </c>
    </row>
    <row r="81" spans="1:14" x14ac:dyDescent="0.3">
      <c r="A81" s="2" t="s">
        <v>14</v>
      </c>
      <c r="B81" s="2" t="s">
        <v>15</v>
      </c>
      <c r="C81" s="2" t="s">
        <v>16</v>
      </c>
      <c r="D81" s="2" t="str">
        <f>("078584")</f>
        <v>078584</v>
      </c>
      <c r="E81" s="2" t="str">
        <f>("622454785847")</f>
        <v>622454785847</v>
      </c>
      <c r="G81" s="2" t="s">
        <v>109</v>
      </c>
      <c r="H81" s="5">
        <v>14000.88</v>
      </c>
      <c r="I81" s="2" t="s">
        <v>18</v>
      </c>
      <c r="J81" s="3">
        <v>43013</v>
      </c>
      <c r="K81" s="2">
        <v>1.077</v>
      </c>
      <c r="L81" s="2">
        <v>2.3740000000000001</v>
      </c>
      <c r="M81" s="2">
        <v>12</v>
      </c>
      <c r="N81" s="2" t="s">
        <v>105</v>
      </c>
    </row>
    <row r="82" spans="1:14" x14ac:dyDescent="0.3">
      <c r="A82" s="2" t="s">
        <v>14</v>
      </c>
      <c r="B82" s="2" t="s">
        <v>15</v>
      </c>
      <c r="C82" s="2" t="s">
        <v>16</v>
      </c>
      <c r="D82" s="2" t="str">
        <f>("078585")</f>
        <v>078585</v>
      </c>
      <c r="E82" s="2" t="str">
        <f>("622454785854")</f>
        <v>622454785854</v>
      </c>
      <c r="G82" s="2" t="s">
        <v>110</v>
      </c>
      <c r="H82" s="5">
        <v>19335.599999999999</v>
      </c>
      <c r="I82" s="2" t="s">
        <v>18</v>
      </c>
      <c r="J82" s="3">
        <v>43013</v>
      </c>
      <c r="K82" s="2">
        <v>1.337</v>
      </c>
      <c r="L82" s="2">
        <v>2.948</v>
      </c>
      <c r="M82" s="2">
        <v>12</v>
      </c>
      <c r="N82" s="2" t="s">
        <v>105</v>
      </c>
    </row>
    <row r="83" spans="1:14" x14ac:dyDescent="0.3">
      <c r="A83" s="2" t="s">
        <v>14</v>
      </c>
      <c r="B83" s="2" t="s">
        <v>15</v>
      </c>
      <c r="C83" s="2" t="s">
        <v>16</v>
      </c>
      <c r="D83" s="2" t="str">
        <f>("078586")</f>
        <v>078586</v>
      </c>
      <c r="E83" s="2" t="str">
        <f>("622454785861")</f>
        <v>622454785861</v>
      </c>
      <c r="G83" s="2" t="s">
        <v>111</v>
      </c>
      <c r="H83" s="5">
        <v>21049.919999999998</v>
      </c>
      <c r="I83" s="2" t="s">
        <v>18</v>
      </c>
      <c r="J83" s="3">
        <v>43013</v>
      </c>
      <c r="K83" s="2">
        <v>2.6030000000000002</v>
      </c>
      <c r="L83" s="2">
        <v>5.7389999999999999</v>
      </c>
      <c r="M83" s="2">
        <v>42</v>
      </c>
      <c r="N83" s="2" t="s">
        <v>105</v>
      </c>
    </row>
    <row r="84" spans="1:14" x14ac:dyDescent="0.3">
      <c r="A84" s="2" t="s">
        <v>14</v>
      </c>
      <c r="B84" s="2" t="s">
        <v>15</v>
      </c>
      <c r="C84" s="2" t="s">
        <v>16</v>
      </c>
      <c r="D84" s="2" t="str">
        <f>("078587")</f>
        <v>078587</v>
      </c>
      <c r="E84" s="2" t="str">
        <f>("622454785878")</f>
        <v>622454785878</v>
      </c>
      <c r="G84" s="2" t="s">
        <v>112</v>
      </c>
      <c r="H84" s="5">
        <v>24547.9</v>
      </c>
      <c r="I84" s="2" t="s">
        <v>18</v>
      </c>
      <c r="J84" s="3">
        <v>43013</v>
      </c>
      <c r="K84" s="2">
        <v>3.7879999999999998</v>
      </c>
      <c r="L84" s="2">
        <v>8.3510000000000009</v>
      </c>
      <c r="M84" s="2">
        <v>50</v>
      </c>
      <c r="N84" s="2" t="s">
        <v>105</v>
      </c>
    </row>
    <row r="85" spans="1:14" x14ac:dyDescent="0.3">
      <c r="A85" s="2" t="s">
        <v>14</v>
      </c>
      <c r="B85" s="2" t="s">
        <v>15</v>
      </c>
      <c r="C85" s="2" t="s">
        <v>16</v>
      </c>
      <c r="D85" s="2" t="str">
        <f>("078588")</f>
        <v>078588</v>
      </c>
      <c r="E85" s="2" t="str">
        <f>("622454785885")</f>
        <v>622454785885</v>
      </c>
      <c r="G85" s="2" t="s">
        <v>113</v>
      </c>
      <c r="H85" s="5">
        <v>683.92</v>
      </c>
      <c r="I85" s="2" t="s">
        <v>18</v>
      </c>
      <c r="J85" s="3">
        <v>43013</v>
      </c>
      <c r="K85" s="2">
        <v>6.0999999999999999E-2</v>
      </c>
      <c r="L85" s="2">
        <v>0.13400000000000001</v>
      </c>
      <c r="M85" s="2">
        <v>40</v>
      </c>
      <c r="N85" s="2" t="s">
        <v>114</v>
      </c>
    </row>
    <row r="86" spans="1:14" x14ac:dyDescent="0.3">
      <c r="A86" s="2" t="s">
        <v>14</v>
      </c>
      <c r="B86" s="2" t="s">
        <v>15</v>
      </c>
      <c r="C86" s="2" t="s">
        <v>16</v>
      </c>
      <c r="D86" s="2" t="str">
        <f>("078589")</f>
        <v>078589</v>
      </c>
      <c r="E86" s="2" t="str">
        <f>("622454785892")</f>
        <v>622454785892</v>
      </c>
      <c r="G86" s="2" t="s">
        <v>115</v>
      </c>
      <c r="H86" s="5">
        <v>771.19</v>
      </c>
      <c r="I86" s="2" t="s">
        <v>18</v>
      </c>
      <c r="J86" s="3">
        <v>43013</v>
      </c>
      <c r="K86" s="2">
        <v>0.104</v>
      </c>
      <c r="L86" s="2">
        <v>0.22900000000000001</v>
      </c>
      <c r="M86" s="2">
        <v>40</v>
      </c>
      <c r="N86" s="2" t="s">
        <v>114</v>
      </c>
    </row>
    <row r="87" spans="1:14" x14ac:dyDescent="0.3">
      <c r="A87" s="2" t="s">
        <v>14</v>
      </c>
      <c r="B87" s="2" t="s">
        <v>15</v>
      </c>
      <c r="C87" s="2" t="s">
        <v>16</v>
      </c>
      <c r="D87" s="2" t="str">
        <f>("078590")</f>
        <v>078590</v>
      </c>
      <c r="E87" s="2" t="str">
        <f>("622454785908")</f>
        <v>622454785908</v>
      </c>
      <c r="G87" s="2" t="s">
        <v>116</v>
      </c>
      <c r="H87" s="5">
        <v>1200.17</v>
      </c>
      <c r="I87" s="2" t="s">
        <v>18</v>
      </c>
      <c r="J87" s="3">
        <v>43013</v>
      </c>
      <c r="K87" s="2">
        <v>0.17100000000000001</v>
      </c>
      <c r="L87" s="2">
        <v>0.377</v>
      </c>
      <c r="M87" s="2">
        <v>40</v>
      </c>
      <c r="N87" s="2" t="s">
        <v>114</v>
      </c>
    </row>
    <row r="88" spans="1:14" x14ac:dyDescent="0.3">
      <c r="A88" s="2" t="s">
        <v>14</v>
      </c>
      <c r="B88" s="2" t="s">
        <v>15</v>
      </c>
      <c r="C88" s="2" t="s">
        <v>16</v>
      </c>
      <c r="D88" s="2" t="str">
        <f>("078591")</f>
        <v>078591</v>
      </c>
      <c r="E88" s="2" t="str">
        <f>("622454785915")</f>
        <v>622454785915</v>
      </c>
      <c r="G88" s="2" t="s">
        <v>117</v>
      </c>
      <c r="H88" s="5">
        <v>1634.89</v>
      </c>
      <c r="I88" s="2" t="s">
        <v>18</v>
      </c>
      <c r="J88" s="3">
        <v>43013</v>
      </c>
      <c r="K88" s="2">
        <v>0.28799999999999998</v>
      </c>
      <c r="L88" s="2">
        <v>0.63500000000000001</v>
      </c>
      <c r="M88" s="2">
        <v>20</v>
      </c>
      <c r="N88" s="2" t="s">
        <v>114</v>
      </c>
    </row>
    <row r="89" spans="1:14" x14ac:dyDescent="0.3">
      <c r="A89" s="2" t="s">
        <v>14</v>
      </c>
      <c r="B89" s="2" t="s">
        <v>15</v>
      </c>
      <c r="C89" s="2" t="s">
        <v>16</v>
      </c>
      <c r="D89" s="2" t="str">
        <f>("078592")</f>
        <v>078592</v>
      </c>
      <c r="E89" s="2" t="str">
        <f>("622454785922")</f>
        <v>622454785922</v>
      </c>
      <c r="G89" s="2" t="s">
        <v>118</v>
      </c>
      <c r="H89" s="5">
        <v>2210.4899999999998</v>
      </c>
      <c r="I89" s="2" t="s">
        <v>18</v>
      </c>
      <c r="J89" s="3">
        <v>43013</v>
      </c>
      <c r="K89" s="2">
        <v>0.35099999999999998</v>
      </c>
      <c r="L89" s="2">
        <v>0.77400000000000002</v>
      </c>
      <c r="M89" s="2">
        <v>20</v>
      </c>
      <c r="N89" s="2" t="s">
        <v>114</v>
      </c>
    </row>
    <row r="90" spans="1:14" x14ac:dyDescent="0.3">
      <c r="A90" s="2" t="s">
        <v>14</v>
      </c>
      <c r="B90" s="2" t="s">
        <v>15</v>
      </c>
      <c r="C90" s="2" t="s">
        <v>16</v>
      </c>
      <c r="D90" s="2" t="str">
        <f>("078593")</f>
        <v>078593</v>
      </c>
      <c r="E90" s="2" t="str">
        <f>("622454785939")</f>
        <v>622454785939</v>
      </c>
      <c r="G90" s="2" t="s">
        <v>119</v>
      </c>
      <c r="H90" s="5">
        <v>2941.72</v>
      </c>
      <c r="I90" s="2" t="s">
        <v>18</v>
      </c>
      <c r="J90" s="3">
        <v>43013</v>
      </c>
      <c r="K90" s="2">
        <v>0.53200000000000003</v>
      </c>
      <c r="L90" s="2">
        <v>1.173</v>
      </c>
      <c r="M90" s="2">
        <v>15</v>
      </c>
      <c r="N90" s="2" t="s">
        <v>114</v>
      </c>
    </row>
    <row r="91" spans="1:14" x14ac:dyDescent="0.3">
      <c r="A91" s="2" t="s">
        <v>14</v>
      </c>
      <c r="B91" s="2" t="s">
        <v>15</v>
      </c>
      <c r="C91" s="2" t="s">
        <v>16</v>
      </c>
      <c r="D91" s="2" t="str">
        <f>("078594")</f>
        <v>078594</v>
      </c>
      <c r="E91" s="2" t="str">
        <f>("622454785946")</f>
        <v>622454785946</v>
      </c>
      <c r="G91" s="2" t="s">
        <v>120</v>
      </c>
      <c r="H91" s="5">
        <v>5257.57</v>
      </c>
      <c r="I91" s="2" t="s">
        <v>18</v>
      </c>
      <c r="J91" s="3">
        <v>43013</v>
      </c>
      <c r="K91" s="2">
        <v>1.125</v>
      </c>
      <c r="L91" s="2">
        <v>2.48</v>
      </c>
      <c r="M91" s="2">
        <v>180</v>
      </c>
      <c r="N91" s="2" t="s">
        <v>121</v>
      </c>
    </row>
    <row r="92" spans="1:14" x14ac:dyDescent="0.3">
      <c r="A92" s="2" t="s">
        <v>14</v>
      </c>
      <c r="B92" s="2" t="s">
        <v>15</v>
      </c>
      <c r="C92" s="2" t="s">
        <v>16</v>
      </c>
      <c r="D92" s="2" t="str">
        <f>("078595")</f>
        <v>078595</v>
      </c>
      <c r="E92" s="2" t="str">
        <f>("622454785953")</f>
        <v>622454785953</v>
      </c>
      <c r="G92" s="2" t="s">
        <v>122</v>
      </c>
      <c r="H92" s="5">
        <v>9040.81</v>
      </c>
      <c r="I92" s="2" t="s">
        <v>18</v>
      </c>
      <c r="J92" s="3">
        <v>43013</v>
      </c>
      <c r="K92" s="2">
        <v>1.7030000000000001</v>
      </c>
      <c r="L92" s="2">
        <v>3.754</v>
      </c>
      <c r="M92" s="2">
        <v>100</v>
      </c>
      <c r="N92" s="2" t="s">
        <v>121</v>
      </c>
    </row>
    <row r="93" spans="1:14" x14ac:dyDescent="0.3">
      <c r="A93" s="2" t="s">
        <v>14</v>
      </c>
      <c r="B93" s="2" t="s">
        <v>15</v>
      </c>
      <c r="C93" s="2" t="s">
        <v>16</v>
      </c>
      <c r="D93" s="2" t="str">
        <f>("078596")</f>
        <v>078596</v>
      </c>
      <c r="E93" s="2" t="str">
        <f>("622454785960")</f>
        <v>622454785960</v>
      </c>
      <c r="G93" s="2" t="s">
        <v>123</v>
      </c>
      <c r="H93" s="5">
        <v>12013.85</v>
      </c>
      <c r="I93" s="2" t="s">
        <v>18</v>
      </c>
      <c r="J93" s="3">
        <v>43013</v>
      </c>
      <c r="K93" s="2">
        <v>2.1629999999999998</v>
      </c>
      <c r="L93" s="2">
        <v>4.7690000000000001</v>
      </c>
      <c r="M93" s="2">
        <v>80</v>
      </c>
      <c r="N93" s="2" t="s">
        <v>121</v>
      </c>
    </row>
    <row r="94" spans="1:14" x14ac:dyDescent="0.3">
      <c r="A94" s="2" t="s">
        <v>14</v>
      </c>
      <c r="B94" s="2" t="s">
        <v>15</v>
      </c>
      <c r="C94" s="2" t="s">
        <v>16</v>
      </c>
      <c r="D94" s="2" t="str">
        <f>("078597")</f>
        <v>078597</v>
      </c>
      <c r="E94" s="2" t="str">
        <f>("622454785977")</f>
        <v>622454785977</v>
      </c>
      <c r="G94" s="2" t="s">
        <v>124</v>
      </c>
      <c r="H94" s="5">
        <v>15306.75</v>
      </c>
      <c r="I94" s="2" t="s">
        <v>18</v>
      </c>
      <c r="J94" s="3">
        <v>43013</v>
      </c>
      <c r="K94" s="2">
        <v>3.056</v>
      </c>
      <c r="L94" s="2">
        <v>6.7370000000000001</v>
      </c>
      <c r="M94" s="2">
        <v>50</v>
      </c>
      <c r="N94" s="2" t="s">
        <v>121</v>
      </c>
    </row>
    <row r="95" spans="1:14" x14ac:dyDescent="0.3">
      <c r="A95" s="2" t="s">
        <v>14</v>
      </c>
      <c r="B95" s="2" t="s">
        <v>15</v>
      </c>
      <c r="C95" s="2" t="s">
        <v>16</v>
      </c>
      <c r="D95" s="2" t="str">
        <f>("068430")</f>
        <v>068430</v>
      </c>
      <c r="E95" s="2" t="str">
        <f>("622454684300")</f>
        <v>622454684300</v>
      </c>
      <c r="G95" s="2" t="s">
        <v>125</v>
      </c>
      <c r="H95" s="5">
        <v>29062.71</v>
      </c>
      <c r="I95" s="2" t="s">
        <v>18</v>
      </c>
      <c r="J95" s="3">
        <v>43013</v>
      </c>
      <c r="K95" s="2">
        <v>5.3129999999999997</v>
      </c>
      <c r="L95" s="2">
        <v>11.712999999999999</v>
      </c>
      <c r="M95" s="2">
        <v>25</v>
      </c>
      <c r="N95" s="2" t="s">
        <v>121</v>
      </c>
    </row>
    <row r="96" spans="1:14" x14ac:dyDescent="0.3">
      <c r="A96" s="2" t="s">
        <v>14</v>
      </c>
      <c r="B96" s="2" t="s">
        <v>15</v>
      </c>
      <c r="C96" s="2" t="s">
        <v>16</v>
      </c>
      <c r="D96" s="2" t="str">
        <f>("078599")</f>
        <v>078599</v>
      </c>
      <c r="E96" s="2" t="str">
        <f>("622454785991")</f>
        <v>622454785991</v>
      </c>
      <c r="G96" s="2" t="s">
        <v>126</v>
      </c>
      <c r="H96" s="5">
        <v>46494.07</v>
      </c>
      <c r="I96" s="2" t="s">
        <v>18</v>
      </c>
      <c r="J96" s="3">
        <v>43013</v>
      </c>
      <c r="K96" s="2">
        <v>9.2899999999999991</v>
      </c>
      <c r="L96" s="2">
        <v>20.481000000000002</v>
      </c>
      <c r="M96" s="2">
        <v>25</v>
      </c>
      <c r="N96" s="2" t="s">
        <v>121</v>
      </c>
    </row>
    <row r="97" spans="1:14" x14ac:dyDescent="0.3">
      <c r="A97" s="2" t="s">
        <v>14</v>
      </c>
      <c r="B97" s="2" t="s">
        <v>15</v>
      </c>
      <c r="C97" s="2" t="s">
        <v>16</v>
      </c>
      <c r="D97" s="2" t="str">
        <f>("078600")</f>
        <v>078600</v>
      </c>
      <c r="E97" s="2" t="str">
        <f>("622454786004")</f>
        <v>622454786004</v>
      </c>
      <c r="G97" s="2" t="s">
        <v>127</v>
      </c>
      <c r="H97" s="5">
        <v>694.08</v>
      </c>
      <c r="I97" s="2" t="s">
        <v>18</v>
      </c>
      <c r="J97" s="3">
        <v>43013</v>
      </c>
      <c r="K97" s="2">
        <v>3.9E-2</v>
      </c>
      <c r="L97" s="2">
        <v>8.5999999999999993E-2</v>
      </c>
      <c r="M97" s="2">
        <v>75</v>
      </c>
      <c r="N97" s="2" t="s">
        <v>114</v>
      </c>
    </row>
    <row r="98" spans="1:14" x14ac:dyDescent="0.3">
      <c r="A98" s="2" t="s">
        <v>14</v>
      </c>
      <c r="B98" s="2" t="s">
        <v>15</v>
      </c>
      <c r="C98" s="2" t="s">
        <v>16</v>
      </c>
      <c r="D98" s="2" t="str">
        <f>("078601")</f>
        <v>078601</v>
      </c>
      <c r="E98" s="2" t="str">
        <f>("622454786011")</f>
        <v>622454786011</v>
      </c>
      <c r="G98" s="2" t="s">
        <v>128</v>
      </c>
      <c r="H98" s="5">
        <v>785.43</v>
      </c>
      <c r="I98" s="2" t="s">
        <v>18</v>
      </c>
      <c r="J98" s="3">
        <v>43013</v>
      </c>
      <c r="K98" s="2">
        <v>5.6000000000000001E-2</v>
      </c>
      <c r="L98" s="2">
        <v>0.123</v>
      </c>
      <c r="M98" s="2">
        <v>25</v>
      </c>
      <c r="N98" s="2" t="s">
        <v>114</v>
      </c>
    </row>
    <row r="99" spans="1:14" x14ac:dyDescent="0.3">
      <c r="A99" s="2" t="s">
        <v>14</v>
      </c>
      <c r="B99" s="2" t="s">
        <v>15</v>
      </c>
      <c r="C99" s="2" t="s">
        <v>16</v>
      </c>
      <c r="D99" s="2" t="str">
        <f>("078602")</f>
        <v>078602</v>
      </c>
      <c r="E99" s="2" t="str">
        <f>("622454786028")</f>
        <v>622454786028</v>
      </c>
      <c r="G99" s="2" t="s">
        <v>129</v>
      </c>
      <c r="H99" s="5">
        <v>1222.5899999999999</v>
      </c>
      <c r="I99" s="2" t="s">
        <v>18</v>
      </c>
      <c r="J99" s="3">
        <v>43013</v>
      </c>
      <c r="K99" s="2">
        <v>0.114</v>
      </c>
      <c r="L99" s="2">
        <v>0.251</v>
      </c>
      <c r="M99" s="2">
        <v>20</v>
      </c>
      <c r="N99" s="2" t="s">
        <v>114</v>
      </c>
    </row>
    <row r="100" spans="1:14" x14ac:dyDescent="0.3">
      <c r="A100" s="2" t="s">
        <v>14</v>
      </c>
      <c r="B100" s="2" t="s">
        <v>15</v>
      </c>
      <c r="C100" s="2" t="s">
        <v>16</v>
      </c>
      <c r="D100" s="2" t="str">
        <f>("078603")</f>
        <v>078603</v>
      </c>
      <c r="E100" s="2" t="str">
        <f>("622454786035")</f>
        <v>622454786035</v>
      </c>
      <c r="G100" s="2" t="s">
        <v>130</v>
      </c>
      <c r="H100" s="5">
        <v>1817.63</v>
      </c>
      <c r="I100" s="2" t="s">
        <v>18</v>
      </c>
      <c r="J100" s="3">
        <v>43013</v>
      </c>
      <c r="K100" s="2">
        <v>0.16800000000000001</v>
      </c>
      <c r="L100" s="2">
        <v>0.37</v>
      </c>
      <c r="M100" s="2">
        <v>30</v>
      </c>
      <c r="N100" s="2" t="s">
        <v>114</v>
      </c>
    </row>
    <row r="101" spans="1:14" x14ac:dyDescent="0.3">
      <c r="A101" s="2" t="s">
        <v>14</v>
      </c>
      <c r="B101" s="2" t="s">
        <v>15</v>
      </c>
      <c r="C101" s="2" t="s">
        <v>16</v>
      </c>
      <c r="D101" s="2" t="str">
        <f>("078604")</f>
        <v>078604</v>
      </c>
      <c r="E101" s="2" t="str">
        <f>("622454786042")</f>
        <v>622454786042</v>
      </c>
      <c r="G101" s="2" t="s">
        <v>131</v>
      </c>
      <c r="H101" s="5">
        <v>2176.83</v>
      </c>
      <c r="I101" s="2" t="s">
        <v>18</v>
      </c>
      <c r="J101" s="3">
        <v>43013</v>
      </c>
      <c r="K101" s="2">
        <v>0.23400000000000001</v>
      </c>
      <c r="L101" s="2">
        <v>0.51600000000000001</v>
      </c>
      <c r="M101" s="2">
        <v>15</v>
      </c>
      <c r="N101" s="2" t="s">
        <v>114</v>
      </c>
    </row>
    <row r="102" spans="1:14" x14ac:dyDescent="0.3">
      <c r="A102" s="2" t="s">
        <v>14</v>
      </c>
      <c r="B102" s="2" t="s">
        <v>15</v>
      </c>
      <c r="C102" s="2" t="s">
        <v>16</v>
      </c>
      <c r="D102" s="2" t="str">
        <f>("078605")</f>
        <v>078605</v>
      </c>
      <c r="E102" s="2" t="str">
        <f>("622454786059")</f>
        <v>622454786059</v>
      </c>
      <c r="G102" s="2" t="s">
        <v>132</v>
      </c>
      <c r="H102" s="5">
        <v>3058.36</v>
      </c>
      <c r="I102" s="2" t="s">
        <v>18</v>
      </c>
      <c r="J102" s="3">
        <v>43013</v>
      </c>
      <c r="K102" s="2">
        <v>0.31900000000000001</v>
      </c>
      <c r="L102" s="2">
        <v>0.70299999999999996</v>
      </c>
      <c r="M102" s="2">
        <v>10</v>
      </c>
      <c r="N102" s="2" t="s">
        <v>114</v>
      </c>
    </row>
    <row r="103" spans="1:14" x14ac:dyDescent="0.3">
      <c r="A103" s="2" t="s">
        <v>14</v>
      </c>
      <c r="B103" s="2" t="s">
        <v>15</v>
      </c>
      <c r="C103" s="2" t="s">
        <v>16</v>
      </c>
      <c r="D103" s="2" t="str">
        <f>("078606")</f>
        <v>078606</v>
      </c>
      <c r="E103" s="2" t="str">
        <f>("622454786066")</f>
        <v>622454786066</v>
      </c>
      <c r="G103" s="2" t="s">
        <v>133</v>
      </c>
      <c r="H103" s="5">
        <v>5550.89</v>
      </c>
      <c r="I103" s="2" t="s">
        <v>18</v>
      </c>
      <c r="J103" s="3">
        <v>43013</v>
      </c>
      <c r="K103" s="2">
        <v>0.64300000000000002</v>
      </c>
      <c r="L103" s="2">
        <v>1.4179999999999999</v>
      </c>
      <c r="M103" s="2">
        <v>20</v>
      </c>
      <c r="N103" s="2" t="s">
        <v>121</v>
      </c>
    </row>
    <row r="104" spans="1:14" x14ac:dyDescent="0.3">
      <c r="A104" s="2" t="s">
        <v>14</v>
      </c>
      <c r="B104" s="2" t="s">
        <v>15</v>
      </c>
      <c r="C104" s="2" t="s">
        <v>16</v>
      </c>
      <c r="D104" s="2" t="str">
        <f>("078607")</f>
        <v>078607</v>
      </c>
      <c r="E104" s="2" t="str">
        <f>("622454786073")</f>
        <v>622454786073</v>
      </c>
      <c r="G104" s="2" t="s">
        <v>134</v>
      </c>
      <c r="H104" s="5">
        <v>9363.44</v>
      </c>
      <c r="I104" s="2" t="s">
        <v>18</v>
      </c>
      <c r="J104" s="3">
        <v>43013</v>
      </c>
      <c r="K104" s="2">
        <v>1.135</v>
      </c>
      <c r="L104" s="2">
        <v>2.5019999999999998</v>
      </c>
      <c r="M104" s="2">
        <v>25</v>
      </c>
      <c r="N104" s="2" t="s">
        <v>121</v>
      </c>
    </row>
    <row r="105" spans="1:14" x14ac:dyDescent="0.3">
      <c r="A105" s="2" t="s">
        <v>14</v>
      </c>
      <c r="B105" s="2" t="s">
        <v>15</v>
      </c>
      <c r="C105" s="2" t="s">
        <v>16</v>
      </c>
      <c r="D105" s="2" t="str">
        <f>("078608")</f>
        <v>078608</v>
      </c>
      <c r="E105" s="2" t="str">
        <f>("622454786080")</f>
        <v>622454786080</v>
      </c>
      <c r="G105" s="2" t="s">
        <v>135</v>
      </c>
      <c r="H105" s="5">
        <v>12664.43</v>
      </c>
      <c r="I105" s="2" t="s">
        <v>18</v>
      </c>
      <c r="J105" s="3">
        <v>43013</v>
      </c>
      <c r="K105" s="2">
        <v>1.321</v>
      </c>
      <c r="L105" s="2">
        <v>2.9119999999999999</v>
      </c>
      <c r="M105" s="2">
        <v>80</v>
      </c>
      <c r="N105" s="2" t="s">
        <v>121</v>
      </c>
    </row>
    <row r="106" spans="1:14" x14ac:dyDescent="0.3">
      <c r="A106" s="2" t="s">
        <v>14</v>
      </c>
      <c r="B106" s="2" t="s">
        <v>15</v>
      </c>
      <c r="C106" s="2" t="s">
        <v>16</v>
      </c>
      <c r="D106" s="2" t="str">
        <f>("078609")</f>
        <v>078609</v>
      </c>
      <c r="E106" s="2" t="str">
        <f>("622454786097")</f>
        <v>622454786097</v>
      </c>
      <c r="G106" s="2" t="s">
        <v>136</v>
      </c>
      <c r="H106" s="5">
        <v>15011.2</v>
      </c>
      <c r="I106" s="2" t="s">
        <v>18</v>
      </c>
      <c r="J106" s="3">
        <v>43013</v>
      </c>
      <c r="K106" s="2">
        <v>1.871</v>
      </c>
      <c r="L106" s="2">
        <v>4.125</v>
      </c>
      <c r="M106" s="2">
        <v>112</v>
      </c>
      <c r="N106" s="2" t="s">
        <v>121</v>
      </c>
    </row>
    <row r="107" spans="1:14" x14ac:dyDescent="0.3">
      <c r="A107" s="2" t="s">
        <v>14</v>
      </c>
      <c r="B107" s="2" t="s">
        <v>15</v>
      </c>
      <c r="C107" s="2" t="s">
        <v>16</v>
      </c>
      <c r="D107" s="2" t="str">
        <f>("078610")</f>
        <v>078610</v>
      </c>
      <c r="E107" s="2" t="str">
        <f>("622454786103")</f>
        <v>622454786103</v>
      </c>
      <c r="G107" s="2" t="s">
        <v>137</v>
      </c>
      <c r="H107" s="5">
        <v>27383.72</v>
      </c>
      <c r="I107" s="2" t="s">
        <v>18</v>
      </c>
      <c r="J107" s="3">
        <v>43013</v>
      </c>
      <c r="K107" s="2">
        <v>3.5419999999999998</v>
      </c>
      <c r="L107" s="2">
        <v>7.8090000000000002</v>
      </c>
      <c r="M107" s="2">
        <v>42</v>
      </c>
      <c r="N107" s="2" t="s">
        <v>121</v>
      </c>
    </row>
    <row r="108" spans="1:14" x14ac:dyDescent="0.3">
      <c r="A108" s="2" t="s">
        <v>14</v>
      </c>
      <c r="B108" s="2" t="s">
        <v>15</v>
      </c>
      <c r="C108" s="2" t="s">
        <v>16</v>
      </c>
      <c r="D108" s="2" t="str">
        <f>("068572")</f>
        <v>068572</v>
      </c>
      <c r="E108" s="2" t="str">
        <f>("622454685727")</f>
        <v>622454685727</v>
      </c>
      <c r="G108" s="2" t="s">
        <v>138</v>
      </c>
      <c r="H108" s="5">
        <v>38332.92</v>
      </c>
      <c r="I108" s="2" t="s">
        <v>18</v>
      </c>
      <c r="J108" s="3">
        <v>43013</v>
      </c>
      <c r="K108" s="2">
        <v>6.1929999999999996</v>
      </c>
      <c r="L108" s="2">
        <v>13.653</v>
      </c>
      <c r="M108" s="2">
        <v>1</v>
      </c>
      <c r="N108" s="2" t="s">
        <v>121</v>
      </c>
    </row>
    <row r="109" spans="1:14" x14ac:dyDescent="0.3">
      <c r="A109" s="2" t="s">
        <v>14</v>
      </c>
      <c r="B109" s="2" t="s">
        <v>15</v>
      </c>
      <c r="C109" s="2" t="s">
        <v>16</v>
      </c>
      <c r="D109" s="2" t="str">
        <f>("078620")</f>
        <v>078620</v>
      </c>
      <c r="E109" s="2" t="str">
        <f>("622454786202")</f>
        <v>622454786202</v>
      </c>
      <c r="G109" s="2" t="s">
        <v>139</v>
      </c>
      <c r="H109" s="5">
        <v>646.77</v>
      </c>
      <c r="I109" s="2" t="s">
        <v>18</v>
      </c>
      <c r="J109" s="3">
        <v>43013</v>
      </c>
      <c r="K109" s="2">
        <v>8.4000000000000005E-2</v>
      </c>
      <c r="L109" s="2">
        <v>0.185</v>
      </c>
      <c r="M109" s="2">
        <v>40</v>
      </c>
      <c r="N109" s="2" t="s">
        <v>140</v>
      </c>
    </row>
    <row r="110" spans="1:14" x14ac:dyDescent="0.3">
      <c r="A110" s="2" t="s">
        <v>14</v>
      </c>
      <c r="B110" s="2" t="s">
        <v>15</v>
      </c>
      <c r="C110" s="2" t="s">
        <v>16</v>
      </c>
      <c r="D110" s="2" t="str">
        <f>("078621")</f>
        <v>078621</v>
      </c>
      <c r="E110" s="2" t="str">
        <f>("622454786219")</f>
        <v>622454786219</v>
      </c>
      <c r="G110" s="2" t="s">
        <v>141</v>
      </c>
      <c r="H110" s="5">
        <v>1015.36</v>
      </c>
      <c r="I110" s="2" t="s">
        <v>18</v>
      </c>
      <c r="J110" s="3">
        <v>43013</v>
      </c>
      <c r="K110" s="2">
        <v>0.14499999999999999</v>
      </c>
      <c r="L110" s="2">
        <v>0.32</v>
      </c>
      <c r="M110" s="2">
        <v>40</v>
      </c>
      <c r="N110" s="2" t="s">
        <v>140</v>
      </c>
    </row>
    <row r="111" spans="1:14" x14ac:dyDescent="0.3">
      <c r="A111" s="2" t="s">
        <v>14</v>
      </c>
      <c r="B111" s="2" t="s">
        <v>15</v>
      </c>
      <c r="C111" s="2" t="s">
        <v>16</v>
      </c>
      <c r="D111" s="2" t="str">
        <f>("078622")</f>
        <v>078622</v>
      </c>
      <c r="E111" s="2" t="str">
        <f>("622454786226")</f>
        <v>622454786226</v>
      </c>
      <c r="G111" s="2" t="s">
        <v>142</v>
      </c>
      <c r="H111" s="5">
        <v>1321.34</v>
      </c>
      <c r="I111" s="2" t="s">
        <v>18</v>
      </c>
      <c r="J111" s="3">
        <v>43013</v>
      </c>
      <c r="K111" s="2">
        <v>0.23499999999999999</v>
      </c>
      <c r="L111" s="2">
        <v>0.51800000000000002</v>
      </c>
      <c r="M111" s="2">
        <v>50</v>
      </c>
      <c r="N111" s="2" t="s">
        <v>140</v>
      </c>
    </row>
    <row r="112" spans="1:14" x14ac:dyDescent="0.3">
      <c r="A112" s="2" t="s">
        <v>14</v>
      </c>
      <c r="B112" s="2" t="s">
        <v>15</v>
      </c>
      <c r="C112" s="2" t="s">
        <v>16</v>
      </c>
      <c r="D112" s="2" t="str">
        <f>("078623")</f>
        <v>078623</v>
      </c>
      <c r="E112" s="2" t="str">
        <f>("622454786233")</f>
        <v>622454786233</v>
      </c>
      <c r="G112" s="2" t="s">
        <v>143</v>
      </c>
      <c r="H112" s="5">
        <v>1829.02</v>
      </c>
      <c r="I112" s="2" t="s">
        <v>18</v>
      </c>
      <c r="J112" s="3">
        <v>43013</v>
      </c>
      <c r="K112" s="2">
        <v>0.38200000000000001</v>
      </c>
      <c r="L112" s="2">
        <v>0.84199999999999997</v>
      </c>
      <c r="M112" s="2">
        <v>25</v>
      </c>
      <c r="N112" s="2" t="s">
        <v>140</v>
      </c>
    </row>
    <row r="113" spans="1:14" x14ac:dyDescent="0.3">
      <c r="A113" s="2" t="s">
        <v>14</v>
      </c>
      <c r="B113" s="2" t="s">
        <v>15</v>
      </c>
      <c r="C113" s="2" t="s">
        <v>16</v>
      </c>
      <c r="D113" s="2" t="str">
        <f>("078624")</f>
        <v>078624</v>
      </c>
      <c r="E113" s="2" t="str">
        <f>("622454786240")</f>
        <v>622454786240</v>
      </c>
      <c r="G113" s="2" t="s">
        <v>144</v>
      </c>
      <c r="H113" s="5">
        <v>2608.61</v>
      </c>
      <c r="I113" s="2" t="s">
        <v>18</v>
      </c>
      <c r="J113" s="3">
        <v>43013</v>
      </c>
      <c r="K113" s="2">
        <v>0.5</v>
      </c>
      <c r="L113" s="2">
        <v>1.1020000000000001</v>
      </c>
      <c r="M113" s="2">
        <v>20</v>
      </c>
      <c r="N113" s="2" t="s">
        <v>140</v>
      </c>
    </row>
    <row r="114" spans="1:14" x14ac:dyDescent="0.3">
      <c r="A114" s="2" t="s">
        <v>14</v>
      </c>
      <c r="B114" s="2" t="s">
        <v>15</v>
      </c>
      <c r="C114" s="2" t="s">
        <v>16</v>
      </c>
      <c r="D114" s="2" t="str">
        <f>("078625")</f>
        <v>078625</v>
      </c>
      <c r="E114" s="2" t="str">
        <f>("622454786257")</f>
        <v>622454786257</v>
      </c>
      <c r="G114" s="2" t="s">
        <v>145</v>
      </c>
      <c r="H114" s="5">
        <v>3571.13</v>
      </c>
      <c r="I114" s="2" t="s">
        <v>18</v>
      </c>
      <c r="J114" s="3">
        <v>43013</v>
      </c>
      <c r="K114" s="2">
        <v>0.9</v>
      </c>
      <c r="L114" s="2">
        <v>1.984</v>
      </c>
      <c r="M114" s="2">
        <v>15</v>
      </c>
      <c r="N114" s="2" t="s">
        <v>140</v>
      </c>
    </row>
    <row r="115" spans="1:14" x14ac:dyDescent="0.3">
      <c r="A115" s="2" t="s">
        <v>14</v>
      </c>
      <c r="B115" s="2" t="s">
        <v>15</v>
      </c>
      <c r="C115" s="2" t="s">
        <v>16</v>
      </c>
      <c r="D115" s="2" t="str">
        <f>("078626")</f>
        <v>078626</v>
      </c>
      <c r="E115" s="2" t="str">
        <f>("622454786264")</f>
        <v>622454786264</v>
      </c>
      <c r="G115" s="2" t="s">
        <v>146</v>
      </c>
      <c r="H115" s="5">
        <v>6259.01</v>
      </c>
      <c r="I115" s="2" t="s">
        <v>18</v>
      </c>
      <c r="J115" s="3">
        <v>43013</v>
      </c>
      <c r="K115" s="2">
        <v>1.522</v>
      </c>
      <c r="L115" s="2">
        <v>3.355</v>
      </c>
      <c r="M115" s="2">
        <v>200</v>
      </c>
      <c r="N115" s="2" t="s">
        <v>140</v>
      </c>
    </row>
    <row r="116" spans="1:14" x14ac:dyDescent="0.3">
      <c r="A116" s="2" t="s">
        <v>14</v>
      </c>
      <c r="B116" s="2" t="s">
        <v>15</v>
      </c>
      <c r="C116" s="2" t="s">
        <v>16</v>
      </c>
      <c r="D116" s="2" t="str">
        <f>("078627")</f>
        <v>078627</v>
      </c>
      <c r="E116" s="2" t="str">
        <f>("622454786271")</f>
        <v>622454786271</v>
      </c>
      <c r="G116" s="2" t="s">
        <v>147</v>
      </c>
      <c r="H116" s="5">
        <v>12072.94</v>
      </c>
      <c r="I116" s="2" t="s">
        <v>18</v>
      </c>
      <c r="J116" s="3">
        <v>43013</v>
      </c>
      <c r="K116" s="2">
        <v>3.9929999999999999</v>
      </c>
      <c r="L116" s="2">
        <v>8.8030000000000008</v>
      </c>
      <c r="M116" s="2">
        <v>110</v>
      </c>
      <c r="N116" s="2" t="s">
        <v>140</v>
      </c>
    </row>
    <row r="117" spans="1:14" x14ac:dyDescent="0.3">
      <c r="A117" s="2" t="s">
        <v>14</v>
      </c>
      <c r="B117" s="2" t="s">
        <v>15</v>
      </c>
      <c r="C117" s="2" t="s">
        <v>16</v>
      </c>
      <c r="D117" s="2" t="str">
        <f>("078628")</f>
        <v>078628</v>
      </c>
      <c r="E117" s="2" t="str">
        <f>("622454786288")</f>
        <v>622454786288</v>
      </c>
      <c r="G117" s="2" t="s">
        <v>148</v>
      </c>
      <c r="H117" s="5">
        <v>19669.669999999998</v>
      </c>
      <c r="I117" s="2" t="s">
        <v>18</v>
      </c>
      <c r="J117" s="3">
        <v>43013</v>
      </c>
      <c r="K117" s="2">
        <v>3.69</v>
      </c>
      <c r="L117" s="2">
        <v>8.1349999999999998</v>
      </c>
      <c r="M117" s="2">
        <v>54</v>
      </c>
      <c r="N117" s="2" t="s">
        <v>140</v>
      </c>
    </row>
    <row r="118" spans="1:14" x14ac:dyDescent="0.3">
      <c r="A118" s="2" t="s">
        <v>14</v>
      </c>
      <c r="B118" s="2" t="s">
        <v>15</v>
      </c>
      <c r="C118" s="2" t="s">
        <v>16</v>
      </c>
      <c r="D118" s="2" t="str">
        <f>("078629")</f>
        <v>078629</v>
      </c>
      <c r="E118" s="2" t="str">
        <f>("622454786295")</f>
        <v>622454786295</v>
      </c>
      <c r="G118" s="2" t="s">
        <v>149</v>
      </c>
      <c r="H118" s="5">
        <v>28659.360000000001</v>
      </c>
      <c r="I118" s="2" t="s">
        <v>18</v>
      </c>
      <c r="J118" s="3">
        <v>43013</v>
      </c>
      <c r="K118" s="2">
        <v>9.6790000000000003</v>
      </c>
      <c r="L118" s="2">
        <v>21.338999999999999</v>
      </c>
      <c r="M118" s="2">
        <v>25</v>
      </c>
      <c r="N118" s="2" t="s">
        <v>140</v>
      </c>
    </row>
    <row r="119" spans="1:14" x14ac:dyDescent="0.3">
      <c r="A119" s="2" t="s">
        <v>14</v>
      </c>
      <c r="B119" s="2" t="s">
        <v>15</v>
      </c>
      <c r="C119" s="2" t="s">
        <v>16</v>
      </c>
      <c r="D119" s="2" t="str">
        <f>("078630")</f>
        <v>078630</v>
      </c>
      <c r="E119" s="2" t="str">
        <f>("622454786301")</f>
        <v>622454786301</v>
      </c>
      <c r="G119" s="2" t="s">
        <v>150</v>
      </c>
      <c r="H119" s="5">
        <v>56108.59</v>
      </c>
      <c r="I119" s="2" t="s">
        <v>18</v>
      </c>
      <c r="J119" s="3">
        <v>43013</v>
      </c>
      <c r="K119" s="2">
        <v>26.626000000000001</v>
      </c>
      <c r="L119" s="2">
        <v>58.7</v>
      </c>
      <c r="M119" s="2">
        <v>25</v>
      </c>
      <c r="N119" s="2" t="s">
        <v>140</v>
      </c>
    </row>
    <row r="120" spans="1:14" x14ac:dyDescent="0.3">
      <c r="A120" s="2" t="s">
        <v>14</v>
      </c>
      <c r="B120" s="2" t="s">
        <v>15</v>
      </c>
      <c r="C120" s="2" t="s">
        <v>16</v>
      </c>
      <c r="D120" s="2" t="str">
        <f>("078631")</f>
        <v>078631</v>
      </c>
      <c r="E120" s="2" t="str">
        <f>("622454786318")</f>
        <v>622454786318</v>
      </c>
      <c r="G120" s="2" t="s">
        <v>151</v>
      </c>
      <c r="H120" s="5">
        <v>611.99</v>
      </c>
      <c r="I120" s="2" t="s">
        <v>18</v>
      </c>
      <c r="J120" s="3">
        <v>43013</v>
      </c>
      <c r="K120" s="2">
        <v>5.7000000000000002E-2</v>
      </c>
      <c r="L120" s="2">
        <v>0.126</v>
      </c>
      <c r="M120" s="2">
        <v>100</v>
      </c>
      <c r="N120" s="2" t="s">
        <v>140</v>
      </c>
    </row>
    <row r="121" spans="1:14" x14ac:dyDescent="0.3">
      <c r="A121" s="2" t="s">
        <v>14</v>
      </c>
      <c r="B121" s="2" t="s">
        <v>15</v>
      </c>
      <c r="C121" s="2" t="s">
        <v>16</v>
      </c>
      <c r="D121" s="2" t="str">
        <f>("078632")</f>
        <v>078632</v>
      </c>
      <c r="E121" s="2" t="str">
        <f>("622454786325")</f>
        <v>622454786325</v>
      </c>
      <c r="G121" s="2" t="s">
        <v>152</v>
      </c>
      <c r="H121" s="5">
        <v>990.99</v>
      </c>
      <c r="I121" s="2" t="s">
        <v>18</v>
      </c>
      <c r="J121" s="3">
        <v>43013</v>
      </c>
      <c r="K121" s="2">
        <v>8.1000000000000003E-2</v>
      </c>
      <c r="L121" s="2">
        <v>0.17899999999999999</v>
      </c>
      <c r="M121" s="2">
        <v>50</v>
      </c>
      <c r="N121" s="2" t="s">
        <v>140</v>
      </c>
    </row>
    <row r="122" spans="1:14" x14ac:dyDescent="0.3">
      <c r="A122" s="2" t="s">
        <v>14</v>
      </c>
      <c r="B122" s="2" t="s">
        <v>15</v>
      </c>
      <c r="C122" s="2" t="s">
        <v>16</v>
      </c>
      <c r="D122" s="2" t="str">
        <f>("078633")</f>
        <v>078633</v>
      </c>
      <c r="E122" s="2" t="str">
        <f>("622454786332")</f>
        <v>622454786332</v>
      </c>
      <c r="G122" s="2" t="s">
        <v>153</v>
      </c>
      <c r="H122" s="5">
        <v>1335.24</v>
      </c>
      <c r="I122" s="2" t="s">
        <v>18</v>
      </c>
      <c r="J122" s="3">
        <v>43013</v>
      </c>
      <c r="K122" s="2">
        <v>0.14699999999999999</v>
      </c>
      <c r="L122" s="2">
        <v>0.32400000000000001</v>
      </c>
      <c r="M122" s="2">
        <v>50</v>
      </c>
      <c r="N122" s="2" t="s">
        <v>140</v>
      </c>
    </row>
    <row r="123" spans="1:14" x14ac:dyDescent="0.3">
      <c r="A123" s="2" t="s">
        <v>14</v>
      </c>
      <c r="B123" s="2" t="s">
        <v>15</v>
      </c>
      <c r="C123" s="2" t="s">
        <v>16</v>
      </c>
      <c r="D123" s="2" t="str">
        <f>("078634")</f>
        <v>078634</v>
      </c>
      <c r="E123" s="2" t="str">
        <f>("622454786349")</f>
        <v>622454786349</v>
      </c>
      <c r="G123" s="2" t="s">
        <v>154</v>
      </c>
      <c r="H123" s="5">
        <v>1769.91</v>
      </c>
      <c r="I123" s="2" t="s">
        <v>18</v>
      </c>
      <c r="J123" s="3">
        <v>43013</v>
      </c>
      <c r="K123" s="2">
        <v>0.24099999999999999</v>
      </c>
      <c r="L123" s="2">
        <v>0.53100000000000003</v>
      </c>
      <c r="M123" s="2">
        <v>35</v>
      </c>
      <c r="N123" s="2" t="s">
        <v>140</v>
      </c>
    </row>
    <row r="124" spans="1:14" x14ac:dyDescent="0.3">
      <c r="A124" s="2" t="s">
        <v>14</v>
      </c>
      <c r="B124" s="2" t="s">
        <v>15</v>
      </c>
      <c r="C124" s="2" t="s">
        <v>16</v>
      </c>
      <c r="D124" s="2" t="str">
        <f>("078635")</f>
        <v>078635</v>
      </c>
      <c r="E124" s="2" t="str">
        <f>("622454786356")</f>
        <v>622454786356</v>
      </c>
      <c r="G124" s="2" t="s">
        <v>155</v>
      </c>
      <c r="H124" s="5">
        <v>2524.46</v>
      </c>
      <c r="I124" s="2" t="s">
        <v>18</v>
      </c>
      <c r="J124" s="3">
        <v>43013</v>
      </c>
      <c r="K124" s="2">
        <v>0.32900000000000001</v>
      </c>
      <c r="L124" s="2">
        <v>0.72499999999999998</v>
      </c>
      <c r="M124" s="2">
        <v>20</v>
      </c>
      <c r="N124" s="2" t="s">
        <v>140</v>
      </c>
    </row>
    <row r="125" spans="1:14" x14ac:dyDescent="0.3">
      <c r="A125" s="2" t="s">
        <v>14</v>
      </c>
      <c r="B125" s="2" t="s">
        <v>15</v>
      </c>
      <c r="C125" s="2" t="s">
        <v>16</v>
      </c>
      <c r="D125" s="2" t="str">
        <f>("078636")</f>
        <v>078636</v>
      </c>
      <c r="E125" s="2" t="str">
        <f>("622454786363")</f>
        <v>622454786363</v>
      </c>
      <c r="G125" s="2" t="s">
        <v>156</v>
      </c>
      <c r="H125" s="5">
        <v>3682.43</v>
      </c>
      <c r="I125" s="2" t="s">
        <v>18</v>
      </c>
      <c r="J125" s="3">
        <v>43013</v>
      </c>
      <c r="K125" s="2">
        <v>0.54</v>
      </c>
      <c r="L125" s="2">
        <v>1.19</v>
      </c>
      <c r="M125" s="2">
        <v>15</v>
      </c>
      <c r="N125" s="2" t="s">
        <v>140</v>
      </c>
    </row>
    <row r="126" spans="1:14" x14ac:dyDescent="0.3">
      <c r="A126" s="2" t="s">
        <v>14</v>
      </c>
      <c r="B126" s="2" t="s">
        <v>15</v>
      </c>
      <c r="C126" s="2" t="s">
        <v>16</v>
      </c>
      <c r="D126" s="2" t="str">
        <f>("078637")</f>
        <v>078637</v>
      </c>
      <c r="E126" s="2" t="str">
        <f>("622454786370")</f>
        <v>622454786370</v>
      </c>
      <c r="G126" s="2" t="s">
        <v>157</v>
      </c>
      <c r="H126" s="5">
        <v>6989.23</v>
      </c>
      <c r="I126" s="2" t="s">
        <v>18</v>
      </c>
      <c r="J126" s="3">
        <v>43013</v>
      </c>
      <c r="K126" s="2">
        <v>0.84599999999999997</v>
      </c>
      <c r="L126" s="2">
        <v>1.865</v>
      </c>
      <c r="M126" s="2">
        <v>20</v>
      </c>
      <c r="N126" s="2" t="s">
        <v>140</v>
      </c>
    </row>
    <row r="127" spans="1:14" x14ac:dyDescent="0.3">
      <c r="A127" s="2" t="s">
        <v>14</v>
      </c>
      <c r="B127" s="2" t="s">
        <v>15</v>
      </c>
      <c r="C127" s="2" t="s">
        <v>16</v>
      </c>
      <c r="D127" s="2" t="str">
        <f>("078638")</f>
        <v>078638</v>
      </c>
      <c r="E127" s="2" t="str">
        <f>("622454786387")</f>
        <v>622454786387</v>
      </c>
      <c r="G127" s="2" t="s">
        <v>158</v>
      </c>
      <c r="H127" s="5">
        <v>11979.05</v>
      </c>
      <c r="I127" s="2" t="s">
        <v>18</v>
      </c>
      <c r="J127" s="3">
        <v>43013</v>
      </c>
      <c r="K127" s="2">
        <v>1.996</v>
      </c>
      <c r="L127" s="2">
        <v>4.4000000000000004</v>
      </c>
      <c r="M127" s="2">
        <v>25</v>
      </c>
      <c r="N127" s="2" t="s">
        <v>140</v>
      </c>
    </row>
    <row r="128" spans="1:14" x14ac:dyDescent="0.3">
      <c r="A128" s="2" t="s">
        <v>14</v>
      </c>
      <c r="B128" s="2" t="s">
        <v>15</v>
      </c>
      <c r="C128" s="2" t="s">
        <v>16</v>
      </c>
      <c r="D128" s="2" t="str">
        <f>("078639")</f>
        <v>078639</v>
      </c>
      <c r="E128" s="2" t="str">
        <f>("622454786394")</f>
        <v>622454786394</v>
      </c>
      <c r="G128" s="2" t="s">
        <v>159</v>
      </c>
      <c r="H128" s="5">
        <v>19896.72</v>
      </c>
      <c r="I128" s="2" t="s">
        <v>18</v>
      </c>
      <c r="J128" s="3">
        <v>43013</v>
      </c>
      <c r="K128" s="2">
        <v>2.4590000000000001</v>
      </c>
      <c r="L128" s="2">
        <v>5.4210000000000003</v>
      </c>
      <c r="M128" s="2">
        <v>126</v>
      </c>
      <c r="N128" s="2" t="s">
        <v>140</v>
      </c>
    </row>
    <row r="129" spans="1:14" x14ac:dyDescent="0.3">
      <c r="A129" s="2" t="s">
        <v>14</v>
      </c>
      <c r="B129" s="2" t="s">
        <v>15</v>
      </c>
      <c r="C129" s="2" t="s">
        <v>16</v>
      </c>
      <c r="D129" s="2" t="str">
        <f>("078640")</f>
        <v>078640</v>
      </c>
      <c r="E129" s="2" t="str">
        <f>("622454786400")</f>
        <v>622454786400</v>
      </c>
      <c r="G129" s="2" t="s">
        <v>160</v>
      </c>
      <c r="H129" s="5">
        <v>31969.67</v>
      </c>
      <c r="I129" s="2" t="s">
        <v>18</v>
      </c>
      <c r="J129" s="3">
        <v>43013</v>
      </c>
      <c r="K129" s="2">
        <v>6.4530000000000003</v>
      </c>
      <c r="L129" s="2">
        <v>14.226000000000001</v>
      </c>
      <c r="M129" s="2">
        <v>50</v>
      </c>
      <c r="N129" s="2" t="s">
        <v>140</v>
      </c>
    </row>
    <row r="130" spans="1:14" x14ac:dyDescent="0.3">
      <c r="A130" s="2" t="s">
        <v>14</v>
      </c>
      <c r="B130" s="2" t="s">
        <v>15</v>
      </c>
      <c r="C130" s="2" t="s">
        <v>16</v>
      </c>
      <c r="D130" s="2" t="str">
        <f>("078641")</f>
        <v>078641</v>
      </c>
      <c r="E130" s="2" t="str">
        <f>("622454786417")</f>
        <v>622454786417</v>
      </c>
      <c r="G130" s="2" t="s">
        <v>161</v>
      </c>
      <c r="H130" s="5">
        <v>46045.49</v>
      </c>
      <c r="I130" s="2" t="s">
        <v>18</v>
      </c>
      <c r="J130" s="3">
        <v>43013</v>
      </c>
      <c r="K130" s="2">
        <v>8.875</v>
      </c>
      <c r="L130" s="2">
        <v>19.565999999999999</v>
      </c>
      <c r="M130" s="2">
        <v>30</v>
      </c>
      <c r="N130" s="2" t="s">
        <v>140</v>
      </c>
    </row>
    <row r="131" spans="1:14" x14ac:dyDescent="0.3">
      <c r="A131" s="2" t="s">
        <v>14</v>
      </c>
      <c r="B131" s="2" t="s">
        <v>15</v>
      </c>
      <c r="C131" s="2" t="s">
        <v>16</v>
      </c>
      <c r="D131" s="2" t="str">
        <f>("078642")</f>
        <v>078642</v>
      </c>
      <c r="E131" s="2" t="str">
        <f>("622454786424")</f>
        <v>622454786424</v>
      </c>
      <c r="G131" s="2" t="s">
        <v>162</v>
      </c>
      <c r="H131" s="5">
        <v>1651.66</v>
      </c>
      <c r="I131" s="2" t="s">
        <v>18</v>
      </c>
      <c r="J131" s="3">
        <v>43013</v>
      </c>
      <c r="K131" s="2">
        <v>4.5999999999999999E-2</v>
      </c>
      <c r="L131" s="2">
        <v>0.10100000000000001</v>
      </c>
      <c r="M131" s="2">
        <v>50</v>
      </c>
      <c r="N131" s="2" t="s">
        <v>140</v>
      </c>
    </row>
    <row r="132" spans="1:14" x14ac:dyDescent="0.3">
      <c r="A132" s="2" t="s">
        <v>14</v>
      </c>
      <c r="B132" s="2" t="s">
        <v>15</v>
      </c>
      <c r="C132" s="2" t="s">
        <v>16</v>
      </c>
      <c r="D132" s="2" t="str">
        <f>("078643")</f>
        <v>078643</v>
      </c>
      <c r="E132" s="2" t="str">
        <f>("622454786431")</f>
        <v>622454786431</v>
      </c>
      <c r="G132" s="2" t="s">
        <v>163</v>
      </c>
      <c r="H132" s="5">
        <v>1676.03</v>
      </c>
      <c r="I132" s="2" t="s">
        <v>18</v>
      </c>
      <c r="J132" s="3">
        <v>43013</v>
      </c>
      <c r="K132" s="2">
        <v>6.0999999999999999E-2</v>
      </c>
      <c r="L132" s="2">
        <v>0.13400000000000001</v>
      </c>
      <c r="M132" s="2">
        <v>25</v>
      </c>
      <c r="N132" s="2" t="s">
        <v>140</v>
      </c>
    </row>
    <row r="133" spans="1:14" x14ac:dyDescent="0.3">
      <c r="A133" s="2" t="s">
        <v>14</v>
      </c>
      <c r="B133" s="2" t="s">
        <v>15</v>
      </c>
      <c r="C133" s="2" t="s">
        <v>16</v>
      </c>
      <c r="D133" s="2" t="str">
        <f>("078644")</f>
        <v>078644</v>
      </c>
      <c r="E133" s="2" t="str">
        <f>("622454786448")</f>
        <v>622454786448</v>
      </c>
      <c r="G133" s="2" t="s">
        <v>164</v>
      </c>
      <c r="H133" s="5">
        <v>2434.04</v>
      </c>
      <c r="I133" s="2" t="s">
        <v>18</v>
      </c>
      <c r="J133" s="3">
        <v>43013</v>
      </c>
      <c r="K133" s="2">
        <v>0.115</v>
      </c>
      <c r="L133" s="2">
        <v>0.254</v>
      </c>
      <c r="M133" s="2">
        <v>25</v>
      </c>
      <c r="N133" s="2" t="s">
        <v>140</v>
      </c>
    </row>
    <row r="134" spans="1:14" x14ac:dyDescent="0.3">
      <c r="A134" s="2" t="s">
        <v>14</v>
      </c>
      <c r="B134" s="2" t="s">
        <v>15</v>
      </c>
      <c r="C134" s="2" t="s">
        <v>16</v>
      </c>
      <c r="D134" s="2" t="str">
        <f>("078645")</f>
        <v>078645</v>
      </c>
      <c r="E134" s="2" t="str">
        <f>("622454786455")</f>
        <v>622454786455</v>
      </c>
      <c r="G134" s="2" t="s">
        <v>165</v>
      </c>
      <c r="H134" s="5">
        <v>2906.96</v>
      </c>
      <c r="I134" s="2" t="s">
        <v>18</v>
      </c>
      <c r="J134" s="3">
        <v>43013</v>
      </c>
      <c r="K134" s="2">
        <v>0.19500000000000001</v>
      </c>
      <c r="L134" s="2">
        <v>0.43</v>
      </c>
      <c r="M134" s="2">
        <v>20</v>
      </c>
      <c r="N134" s="2" t="s">
        <v>140</v>
      </c>
    </row>
    <row r="135" spans="1:14" x14ac:dyDescent="0.3">
      <c r="A135" s="2" t="s">
        <v>14</v>
      </c>
      <c r="B135" s="2" t="s">
        <v>15</v>
      </c>
      <c r="C135" s="2" t="s">
        <v>16</v>
      </c>
      <c r="D135" s="2" t="str">
        <f>("078646")</f>
        <v>078646</v>
      </c>
      <c r="E135" s="2" t="str">
        <f>("622454786462")</f>
        <v>622454786462</v>
      </c>
      <c r="G135" s="2" t="s">
        <v>166</v>
      </c>
      <c r="H135" s="5">
        <v>3007.8</v>
      </c>
      <c r="I135" s="2" t="s">
        <v>18</v>
      </c>
      <c r="J135" s="3">
        <v>43013</v>
      </c>
      <c r="K135" s="2">
        <v>0.245</v>
      </c>
      <c r="L135" s="2">
        <v>0.54</v>
      </c>
      <c r="M135" s="2">
        <v>25</v>
      </c>
      <c r="N135" s="2" t="s">
        <v>140</v>
      </c>
    </row>
    <row r="136" spans="1:14" x14ac:dyDescent="0.3">
      <c r="A136" s="2" t="s">
        <v>14</v>
      </c>
      <c r="B136" s="2" t="s">
        <v>15</v>
      </c>
      <c r="C136" s="2" t="s">
        <v>16</v>
      </c>
      <c r="D136" s="2" t="str">
        <f>("078647")</f>
        <v>078647</v>
      </c>
      <c r="E136" s="2" t="str">
        <f>("622454786479")</f>
        <v>622454786479</v>
      </c>
      <c r="G136" s="2" t="s">
        <v>167</v>
      </c>
      <c r="H136" s="5">
        <v>3685.89</v>
      </c>
      <c r="I136" s="2" t="s">
        <v>18</v>
      </c>
      <c r="J136" s="3">
        <v>43013</v>
      </c>
      <c r="K136" s="2">
        <v>0.38600000000000001</v>
      </c>
      <c r="L136" s="2">
        <v>0.85099999999999998</v>
      </c>
      <c r="M136" s="2">
        <v>15</v>
      </c>
      <c r="N136" s="2" t="s">
        <v>140</v>
      </c>
    </row>
    <row r="137" spans="1:14" x14ac:dyDescent="0.3">
      <c r="A137" s="2" t="s">
        <v>14</v>
      </c>
      <c r="B137" s="2" t="s">
        <v>15</v>
      </c>
      <c r="C137" s="2" t="s">
        <v>16</v>
      </c>
      <c r="D137" s="2" t="str">
        <f>("078648")</f>
        <v>078648</v>
      </c>
      <c r="E137" s="2" t="str">
        <f>("622454786486")</f>
        <v>622454786486</v>
      </c>
      <c r="G137" s="2" t="s">
        <v>168</v>
      </c>
      <c r="H137" s="5">
        <v>6989.23</v>
      </c>
      <c r="I137" s="2" t="s">
        <v>18</v>
      </c>
      <c r="J137" s="3">
        <v>43013</v>
      </c>
      <c r="K137" s="2">
        <v>0.76100000000000001</v>
      </c>
      <c r="L137" s="2">
        <v>1.6779999999999999</v>
      </c>
      <c r="M137" s="2">
        <v>10</v>
      </c>
      <c r="N137" s="2" t="s">
        <v>140</v>
      </c>
    </row>
    <row r="138" spans="1:14" x14ac:dyDescent="0.3">
      <c r="A138" s="2" t="s">
        <v>14</v>
      </c>
      <c r="B138" s="2" t="s">
        <v>15</v>
      </c>
      <c r="C138" s="2" t="s">
        <v>16</v>
      </c>
      <c r="D138" s="2" t="str">
        <f>("078649")</f>
        <v>078649</v>
      </c>
      <c r="E138" s="2" t="str">
        <f>("622454786493")</f>
        <v>622454786493</v>
      </c>
      <c r="G138" s="2" t="s">
        <v>169</v>
      </c>
      <c r="H138" s="5">
        <v>11975.58</v>
      </c>
      <c r="I138" s="2" t="s">
        <v>18</v>
      </c>
      <c r="J138" s="3">
        <v>43013</v>
      </c>
      <c r="K138" s="2">
        <v>2.6619999999999999</v>
      </c>
      <c r="L138" s="2">
        <v>5.8689999999999998</v>
      </c>
      <c r="M138" s="2">
        <v>30</v>
      </c>
      <c r="N138" s="2" t="s">
        <v>140</v>
      </c>
    </row>
    <row r="139" spans="1:14" x14ac:dyDescent="0.3">
      <c r="A139" s="2" t="s">
        <v>14</v>
      </c>
      <c r="B139" s="2" t="s">
        <v>15</v>
      </c>
      <c r="C139" s="2" t="s">
        <v>16</v>
      </c>
      <c r="D139" s="2" t="str">
        <f>("078650")</f>
        <v>078650</v>
      </c>
      <c r="E139" s="2" t="str">
        <f>("622454786509")</f>
        <v>622454786509</v>
      </c>
      <c r="G139" s="2" t="s">
        <v>170</v>
      </c>
      <c r="H139" s="5">
        <v>19907.14</v>
      </c>
      <c r="I139" s="2" t="s">
        <v>18</v>
      </c>
      <c r="J139" s="3">
        <v>43013</v>
      </c>
      <c r="K139" s="2">
        <v>2.4590000000000001</v>
      </c>
      <c r="L139" s="2">
        <v>5.4210000000000003</v>
      </c>
      <c r="M139" s="2">
        <v>12</v>
      </c>
      <c r="N139" s="2" t="s">
        <v>140</v>
      </c>
    </row>
    <row r="140" spans="1:14" x14ac:dyDescent="0.3">
      <c r="A140" s="2" t="s">
        <v>14</v>
      </c>
      <c r="B140" s="2" t="s">
        <v>15</v>
      </c>
      <c r="C140" s="2" t="s">
        <v>16</v>
      </c>
      <c r="D140" s="2" t="str">
        <f>("078651")</f>
        <v>078651</v>
      </c>
      <c r="E140" s="2" t="str">
        <f>("622454004115")</f>
        <v>622454004115</v>
      </c>
      <c r="G140" s="2" t="s">
        <v>171</v>
      </c>
      <c r="H140" s="5">
        <v>31990.55</v>
      </c>
      <c r="I140" s="2" t="s">
        <v>18</v>
      </c>
      <c r="J140" s="3">
        <v>43013</v>
      </c>
      <c r="K140" s="2">
        <v>7.0979999999999999</v>
      </c>
      <c r="L140" s="2">
        <v>15.648</v>
      </c>
      <c r="M140" s="2">
        <v>42</v>
      </c>
      <c r="N140" s="2" t="s">
        <v>140</v>
      </c>
    </row>
    <row r="141" spans="1:14" x14ac:dyDescent="0.3">
      <c r="A141" s="2" t="s">
        <v>14</v>
      </c>
      <c r="B141" s="2" t="s">
        <v>15</v>
      </c>
      <c r="C141" s="2" t="s">
        <v>16</v>
      </c>
      <c r="D141" s="2" t="str">
        <f>("068560")</f>
        <v>068560</v>
      </c>
      <c r="E141" s="2" t="str">
        <f>("622454685604")</f>
        <v>622454685604</v>
      </c>
      <c r="G141" s="2" t="s">
        <v>172</v>
      </c>
      <c r="H141" s="5">
        <v>36510.94</v>
      </c>
      <c r="I141" s="2" t="s">
        <v>18</v>
      </c>
      <c r="J141" s="3">
        <v>43013</v>
      </c>
      <c r="K141" s="2">
        <v>9.8320000000000007</v>
      </c>
      <c r="L141" s="2">
        <v>21.675999999999998</v>
      </c>
      <c r="M141" s="2">
        <v>1</v>
      </c>
      <c r="N141" s="2" t="s">
        <v>140</v>
      </c>
    </row>
    <row r="142" spans="1:14" x14ac:dyDescent="0.3">
      <c r="A142" s="2" t="s">
        <v>14</v>
      </c>
      <c r="B142" s="2" t="s">
        <v>15</v>
      </c>
      <c r="C142" s="2" t="s">
        <v>16</v>
      </c>
      <c r="D142" s="2" t="str">
        <f>("078025")</f>
        <v>078025</v>
      </c>
      <c r="E142" s="2" t="str">
        <f>("622454780255")</f>
        <v>622454780255</v>
      </c>
      <c r="G142" s="2" t="s">
        <v>173</v>
      </c>
      <c r="H142" s="5">
        <v>2033.58</v>
      </c>
      <c r="I142" s="2" t="s">
        <v>18</v>
      </c>
      <c r="J142" s="3">
        <v>43013</v>
      </c>
      <c r="K142" s="2">
        <v>0.18</v>
      </c>
      <c r="L142" s="2">
        <v>0.39700000000000002</v>
      </c>
      <c r="M142" s="2">
        <v>15</v>
      </c>
      <c r="N142" s="2" t="s">
        <v>174</v>
      </c>
    </row>
    <row r="143" spans="1:14" x14ac:dyDescent="0.3">
      <c r="A143" s="2" t="s">
        <v>14</v>
      </c>
      <c r="B143" s="2" t="s">
        <v>15</v>
      </c>
      <c r="C143" s="2" t="s">
        <v>16</v>
      </c>
      <c r="D143" s="2" t="str">
        <f>("078026")</f>
        <v>078026</v>
      </c>
      <c r="E143" s="2" t="str">
        <f>("622454780262")</f>
        <v>622454780262</v>
      </c>
      <c r="G143" s="2" t="s">
        <v>175</v>
      </c>
      <c r="H143" s="5">
        <v>2320.13</v>
      </c>
      <c r="I143" s="2" t="s">
        <v>18</v>
      </c>
      <c r="J143" s="3">
        <v>43013</v>
      </c>
      <c r="K143" s="2">
        <v>0.5</v>
      </c>
      <c r="L143" s="2">
        <v>1.1020000000000001</v>
      </c>
      <c r="M143" s="2">
        <v>25</v>
      </c>
      <c r="N143" s="2" t="s">
        <v>174</v>
      </c>
    </row>
    <row r="144" spans="1:14" x14ac:dyDescent="0.3">
      <c r="A144" s="2" t="s">
        <v>14</v>
      </c>
      <c r="B144" s="2" t="s">
        <v>15</v>
      </c>
      <c r="C144" s="2" t="s">
        <v>16</v>
      </c>
      <c r="D144" s="2" t="str">
        <f>("078028")</f>
        <v>078028</v>
      </c>
      <c r="E144" s="2" t="str">
        <f>("622454780286")</f>
        <v>622454780286</v>
      </c>
      <c r="G144" s="2" t="s">
        <v>176</v>
      </c>
      <c r="H144" s="5">
        <v>2986.45</v>
      </c>
      <c r="I144" s="2" t="s">
        <v>18</v>
      </c>
      <c r="J144" s="3">
        <v>43013</v>
      </c>
      <c r="K144" s="2">
        <v>0.71599999999999997</v>
      </c>
      <c r="L144" s="2">
        <v>1.579</v>
      </c>
      <c r="M144" s="2">
        <v>15</v>
      </c>
      <c r="N144" s="2" t="s">
        <v>174</v>
      </c>
    </row>
    <row r="145" spans="1:14" x14ac:dyDescent="0.3">
      <c r="A145" s="2" t="s">
        <v>14</v>
      </c>
      <c r="B145" s="2" t="s">
        <v>15</v>
      </c>
      <c r="C145" s="2" t="s">
        <v>16</v>
      </c>
      <c r="D145" s="2" t="str">
        <f>("078030")</f>
        <v>078030</v>
      </c>
      <c r="E145" s="2" t="str">
        <f>("622454780309")</f>
        <v>622454780309</v>
      </c>
      <c r="G145" s="2" t="s">
        <v>177</v>
      </c>
      <c r="H145" s="5">
        <v>4246.67</v>
      </c>
      <c r="I145" s="2" t="s">
        <v>18</v>
      </c>
      <c r="J145" s="3">
        <v>43013</v>
      </c>
      <c r="K145" s="2">
        <v>1.462</v>
      </c>
      <c r="L145" s="2">
        <v>3.2229999999999999</v>
      </c>
      <c r="M145" s="2">
        <v>5</v>
      </c>
      <c r="N145" s="2" t="s">
        <v>174</v>
      </c>
    </row>
    <row r="146" spans="1:14" x14ac:dyDescent="0.3">
      <c r="A146" s="2" t="s">
        <v>14</v>
      </c>
      <c r="B146" s="2" t="s">
        <v>15</v>
      </c>
      <c r="C146" s="2" t="s">
        <v>16</v>
      </c>
      <c r="D146" s="2" t="str">
        <f>("078049")</f>
        <v>078049</v>
      </c>
      <c r="E146" s="2" t="str">
        <f>("622454780491")</f>
        <v>622454780491</v>
      </c>
      <c r="G146" s="2" t="s">
        <v>178</v>
      </c>
      <c r="H146" s="5">
        <v>2700.53</v>
      </c>
      <c r="I146" s="2" t="s">
        <v>18</v>
      </c>
      <c r="J146" s="3">
        <v>43013</v>
      </c>
      <c r="K146" s="2">
        <v>0.128</v>
      </c>
      <c r="L146" s="2">
        <v>0.28199999999999997</v>
      </c>
      <c r="M146" s="2">
        <v>50</v>
      </c>
      <c r="N146" s="2" t="s">
        <v>174</v>
      </c>
    </row>
    <row r="147" spans="1:14" x14ac:dyDescent="0.3">
      <c r="A147" s="2" t="s">
        <v>14</v>
      </c>
      <c r="B147" s="2" t="s">
        <v>15</v>
      </c>
      <c r="C147" s="2" t="s">
        <v>16</v>
      </c>
      <c r="D147" s="2" t="str">
        <f>("078051")</f>
        <v>078051</v>
      </c>
      <c r="E147" s="2" t="str">
        <f>("622454780514")</f>
        <v>622454780514</v>
      </c>
      <c r="G147" s="2" t="s">
        <v>179</v>
      </c>
      <c r="H147" s="5">
        <v>3093.5</v>
      </c>
      <c r="I147" s="2" t="s">
        <v>18</v>
      </c>
      <c r="J147" s="3">
        <v>43013</v>
      </c>
      <c r="K147" s="2">
        <v>0.42599999999999999</v>
      </c>
      <c r="L147" s="2">
        <v>0.93899999999999995</v>
      </c>
      <c r="M147" s="2">
        <v>25</v>
      </c>
      <c r="N147" s="2" t="s">
        <v>174</v>
      </c>
    </row>
    <row r="148" spans="1:14" x14ac:dyDescent="0.3">
      <c r="A148" s="2" t="s">
        <v>14</v>
      </c>
      <c r="B148" s="2" t="s">
        <v>15</v>
      </c>
      <c r="C148" s="2" t="s">
        <v>16</v>
      </c>
      <c r="D148" s="2" t="str">
        <f>("078053")</f>
        <v>078053</v>
      </c>
      <c r="E148" s="2" t="str">
        <f>("622454780538")</f>
        <v>622454780538</v>
      </c>
      <c r="G148" s="2" t="s">
        <v>180</v>
      </c>
      <c r="H148" s="5">
        <v>3412.62</v>
      </c>
      <c r="I148" s="2" t="s">
        <v>18</v>
      </c>
      <c r="J148" s="3">
        <v>43013</v>
      </c>
      <c r="K148" s="2">
        <v>0.77900000000000003</v>
      </c>
      <c r="L148" s="2">
        <v>1.7170000000000001</v>
      </c>
      <c r="M148" s="2">
        <v>35</v>
      </c>
      <c r="N148" s="2" t="s">
        <v>174</v>
      </c>
    </row>
    <row r="149" spans="1:14" x14ac:dyDescent="0.3">
      <c r="A149" s="2" t="s">
        <v>14</v>
      </c>
      <c r="B149" s="2" t="s">
        <v>15</v>
      </c>
      <c r="C149" s="2" t="s">
        <v>16</v>
      </c>
      <c r="D149" s="2" t="str">
        <f>("078055")</f>
        <v>078055</v>
      </c>
      <c r="E149" s="2" t="str">
        <f>("622454780552")</f>
        <v>622454780552</v>
      </c>
      <c r="G149" s="2" t="s">
        <v>181</v>
      </c>
      <c r="H149" s="5">
        <v>4049.04</v>
      </c>
      <c r="I149" s="2" t="s">
        <v>18</v>
      </c>
      <c r="J149" s="3">
        <v>43013</v>
      </c>
      <c r="K149" s="2">
        <v>1.18</v>
      </c>
      <c r="L149" s="2">
        <v>2.601</v>
      </c>
      <c r="M149" s="2">
        <v>4</v>
      </c>
      <c r="N149" s="2" t="s">
        <v>174</v>
      </c>
    </row>
    <row r="150" spans="1:14" x14ac:dyDescent="0.3">
      <c r="A150" s="2" t="s">
        <v>14</v>
      </c>
      <c r="B150" s="2" t="s">
        <v>15</v>
      </c>
      <c r="C150" s="2" t="s">
        <v>16</v>
      </c>
      <c r="D150" s="2" t="str">
        <f>("077106")</f>
        <v>077106</v>
      </c>
      <c r="E150" s="2" t="str">
        <f>("622454771062")</f>
        <v>622454771062</v>
      </c>
      <c r="G150" s="2" t="s">
        <v>182</v>
      </c>
      <c r="H150" s="5">
        <v>5634.96</v>
      </c>
      <c r="I150" s="2" t="s">
        <v>18</v>
      </c>
      <c r="J150" s="3">
        <v>43013</v>
      </c>
      <c r="K150" s="2">
        <v>1.7709999999999999</v>
      </c>
      <c r="L150" s="2">
        <v>3.9039999999999999</v>
      </c>
      <c r="M150" s="2">
        <v>6</v>
      </c>
      <c r="N150" s="2" t="s">
        <v>174</v>
      </c>
    </row>
    <row r="151" spans="1:14" x14ac:dyDescent="0.3">
      <c r="A151" s="2" t="s">
        <v>14</v>
      </c>
      <c r="B151" s="2" t="s">
        <v>15</v>
      </c>
      <c r="C151" s="2" t="s">
        <v>16</v>
      </c>
      <c r="D151" s="2" t="str">
        <f>("078063")</f>
        <v>078063</v>
      </c>
      <c r="E151" s="2" t="str">
        <f>("622454780637")</f>
        <v>622454780637</v>
      </c>
      <c r="G151" s="2" t="s">
        <v>183</v>
      </c>
      <c r="H151" s="5">
        <v>1260.32</v>
      </c>
      <c r="I151" s="2" t="s">
        <v>18</v>
      </c>
      <c r="J151" s="3">
        <v>43013</v>
      </c>
      <c r="K151" s="2">
        <v>0.11700000000000001</v>
      </c>
      <c r="L151" s="2">
        <v>0.25800000000000001</v>
      </c>
      <c r="M151" s="2">
        <v>15</v>
      </c>
      <c r="N151" s="2" t="s">
        <v>184</v>
      </c>
    </row>
    <row r="152" spans="1:14" x14ac:dyDescent="0.3">
      <c r="A152" s="2" t="s">
        <v>14</v>
      </c>
      <c r="B152" s="2" t="s">
        <v>15</v>
      </c>
      <c r="C152" s="2" t="s">
        <v>16</v>
      </c>
      <c r="D152" s="2" t="str">
        <f>("078065")</f>
        <v>078065</v>
      </c>
      <c r="E152" s="2" t="str">
        <f>("622454780651")</f>
        <v>622454780651</v>
      </c>
      <c r="G152" s="2" t="s">
        <v>185</v>
      </c>
      <c r="H152" s="5">
        <v>3073.91</v>
      </c>
      <c r="I152" s="2" t="s">
        <v>18</v>
      </c>
      <c r="J152" s="3">
        <v>43013</v>
      </c>
      <c r="K152" s="2">
        <v>0.24</v>
      </c>
      <c r="L152" s="2">
        <v>0.52900000000000003</v>
      </c>
      <c r="M152" s="2">
        <v>10</v>
      </c>
      <c r="N152" s="2" t="s">
        <v>184</v>
      </c>
    </row>
    <row r="153" spans="1:14" x14ac:dyDescent="0.3">
      <c r="A153" s="2" t="s">
        <v>14</v>
      </c>
      <c r="B153" s="2" t="s">
        <v>15</v>
      </c>
      <c r="C153" s="2" t="s">
        <v>16</v>
      </c>
      <c r="D153" s="2" t="str">
        <f>("078066")</f>
        <v>078066</v>
      </c>
      <c r="E153" s="2" t="str">
        <f>("622454780668")</f>
        <v>622454780668</v>
      </c>
      <c r="G153" s="2" t="s">
        <v>186</v>
      </c>
      <c r="H153" s="5">
        <v>3621.32</v>
      </c>
      <c r="I153" s="2" t="s">
        <v>18</v>
      </c>
      <c r="J153" s="3">
        <v>43013</v>
      </c>
      <c r="K153" s="2">
        <v>0.318</v>
      </c>
      <c r="L153" s="2">
        <v>0.70099999999999996</v>
      </c>
      <c r="M153" s="2">
        <v>10</v>
      </c>
      <c r="N153" s="2" t="s">
        <v>184</v>
      </c>
    </row>
    <row r="154" spans="1:14" x14ac:dyDescent="0.3">
      <c r="A154" s="2" t="s">
        <v>14</v>
      </c>
      <c r="B154" s="2" t="s">
        <v>15</v>
      </c>
      <c r="C154" s="2" t="s">
        <v>16</v>
      </c>
      <c r="D154" s="2" t="str">
        <f>("078067")</f>
        <v>078067</v>
      </c>
      <c r="E154" s="2" t="str">
        <f>("622454780675")</f>
        <v>622454780675</v>
      </c>
      <c r="G154" s="2" t="s">
        <v>187</v>
      </c>
      <c r="H154" s="5">
        <v>4315.8</v>
      </c>
      <c r="I154" s="2" t="s">
        <v>18</v>
      </c>
      <c r="J154" s="3">
        <v>43013</v>
      </c>
      <c r="K154" s="2">
        <v>0.57099999999999995</v>
      </c>
      <c r="L154" s="2">
        <v>1.2589999999999999</v>
      </c>
      <c r="M154" s="2">
        <v>5</v>
      </c>
      <c r="N154" s="2" t="s">
        <v>184</v>
      </c>
    </row>
    <row r="155" spans="1:14" x14ac:dyDescent="0.3">
      <c r="A155" s="2" t="s">
        <v>14</v>
      </c>
      <c r="B155" s="2" t="s">
        <v>15</v>
      </c>
      <c r="C155" s="2" t="s">
        <v>16</v>
      </c>
      <c r="D155" s="2" t="str">
        <f>("078068")</f>
        <v>078068</v>
      </c>
      <c r="E155" s="2" t="str">
        <f>("622454780682")</f>
        <v>622454780682</v>
      </c>
      <c r="G155" s="2" t="s">
        <v>188</v>
      </c>
      <c r="H155" s="5">
        <v>10518.43</v>
      </c>
      <c r="I155" s="2" t="s">
        <v>18</v>
      </c>
      <c r="J155" s="3">
        <v>43013</v>
      </c>
      <c r="K155" s="2">
        <v>0.86899999999999999</v>
      </c>
      <c r="L155" s="2">
        <v>1.9159999999999999</v>
      </c>
      <c r="M155" s="2">
        <v>10</v>
      </c>
      <c r="N155" s="2" t="s">
        <v>184</v>
      </c>
    </row>
    <row r="156" spans="1:14" x14ac:dyDescent="0.3">
      <c r="A156" s="2" t="s">
        <v>14</v>
      </c>
      <c r="B156" s="2" t="s">
        <v>15</v>
      </c>
      <c r="C156" s="2" t="s">
        <v>16</v>
      </c>
      <c r="D156" s="2" t="str">
        <f>("078069")</f>
        <v>078069</v>
      </c>
      <c r="E156" s="2" t="str">
        <f>("622454780699")</f>
        <v>622454780699</v>
      </c>
      <c r="G156" s="2" t="s">
        <v>189</v>
      </c>
      <c r="H156" s="5">
        <v>9727.68</v>
      </c>
      <c r="I156" s="2" t="s">
        <v>18</v>
      </c>
      <c r="J156" s="3">
        <v>43013</v>
      </c>
      <c r="K156" s="2">
        <v>1.3120000000000001</v>
      </c>
      <c r="L156" s="2">
        <v>2.8919999999999999</v>
      </c>
      <c r="M156" s="2">
        <v>5</v>
      </c>
      <c r="N156" s="2" t="s">
        <v>184</v>
      </c>
    </row>
    <row r="157" spans="1:14" x14ac:dyDescent="0.3">
      <c r="A157" s="2" t="s">
        <v>14</v>
      </c>
      <c r="B157" s="2" t="s">
        <v>15</v>
      </c>
      <c r="C157" s="2" t="s">
        <v>16</v>
      </c>
      <c r="D157" s="2" t="str">
        <f>("077292")</f>
        <v>077292</v>
      </c>
      <c r="E157" s="2" t="str">
        <f>("622454772922")</f>
        <v>622454772922</v>
      </c>
      <c r="G157" s="2" t="s">
        <v>190</v>
      </c>
      <c r="H157" s="5">
        <v>1209.4100000000001</v>
      </c>
      <c r="I157" s="2" t="s">
        <v>18</v>
      </c>
      <c r="J157" s="3">
        <v>43013</v>
      </c>
      <c r="K157" s="2">
        <v>5.6000000000000001E-2</v>
      </c>
      <c r="L157" s="2">
        <v>0.123</v>
      </c>
      <c r="M157" s="2">
        <v>25</v>
      </c>
      <c r="N157" s="2" t="s">
        <v>191</v>
      </c>
    </row>
    <row r="158" spans="1:14" x14ac:dyDescent="0.3">
      <c r="A158" s="2" t="s">
        <v>14</v>
      </c>
      <c r="B158" s="2" t="s">
        <v>15</v>
      </c>
      <c r="C158" s="2" t="s">
        <v>16</v>
      </c>
      <c r="D158" s="2" t="str">
        <f>("078617")</f>
        <v>078617</v>
      </c>
      <c r="E158" s="2" t="str">
        <f>("622454786172")</f>
        <v>622454786172</v>
      </c>
      <c r="G158" s="2" t="s">
        <v>192</v>
      </c>
      <c r="H158" s="5">
        <v>2066.83</v>
      </c>
      <c r="I158" s="2" t="s">
        <v>18</v>
      </c>
      <c r="J158" s="3">
        <v>43013</v>
      </c>
      <c r="K158" s="2">
        <v>0.08</v>
      </c>
      <c r="L158" s="2">
        <v>0.17599999999999999</v>
      </c>
      <c r="M158" s="2">
        <v>58</v>
      </c>
      <c r="N158" s="2" t="s">
        <v>191</v>
      </c>
    </row>
    <row r="159" spans="1:14" x14ac:dyDescent="0.3">
      <c r="A159" s="2" t="s">
        <v>14</v>
      </c>
      <c r="B159" s="2" t="s">
        <v>15</v>
      </c>
      <c r="C159" s="2" t="s">
        <v>16</v>
      </c>
      <c r="D159" s="2" t="str">
        <f>("078041")</f>
        <v>078041</v>
      </c>
      <c r="E159" s="2" t="str">
        <f>("622454780415")</f>
        <v>622454780415</v>
      </c>
      <c r="G159" s="2" t="s">
        <v>193</v>
      </c>
      <c r="H159" s="5">
        <v>3074.52</v>
      </c>
      <c r="I159" s="2" t="s">
        <v>18</v>
      </c>
      <c r="J159" s="3">
        <v>43013</v>
      </c>
      <c r="K159" s="2">
        <v>0.17599999999999999</v>
      </c>
      <c r="L159" s="2">
        <v>0.38800000000000001</v>
      </c>
      <c r="M159" s="2">
        <v>30</v>
      </c>
      <c r="N159" s="2" t="s">
        <v>191</v>
      </c>
    </row>
    <row r="160" spans="1:14" x14ac:dyDescent="0.3">
      <c r="A160" s="2" t="s">
        <v>14</v>
      </c>
      <c r="B160" s="2" t="s">
        <v>15</v>
      </c>
      <c r="C160" s="2" t="s">
        <v>16</v>
      </c>
      <c r="D160" s="2" t="str">
        <f>("078042")</f>
        <v>078042</v>
      </c>
      <c r="E160" s="2" t="str">
        <f>("622454780422")</f>
        <v>622454780422</v>
      </c>
      <c r="G160" s="2" t="s">
        <v>194</v>
      </c>
      <c r="H160" s="5">
        <v>3025.97</v>
      </c>
      <c r="I160" s="2" t="s">
        <v>18</v>
      </c>
      <c r="J160" s="3">
        <v>43013</v>
      </c>
      <c r="K160" s="2">
        <v>0.217</v>
      </c>
      <c r="L160" s="2">
        <v>0.47799999999999998</v>
      </c>
      <c r="M160" s="2">
        <v>30</v>
      </c>
      <c r="N160" s="2" t="s">
        <v>191</v>
      </c>
    </row>
    <row r="161" spans="1:14" x14ac:dyDescent="0.3">
      <c r="A161" s="2" t="s">
        <v>14</v>
      </c>
      <c r="B161" s="2" t="s">
        <v>15</v>
      </c>
      <c r="C161" s="2" t="s">
        <v>16</v>
      </c>
      <c r="D161" s="2" t="str">
        <f>("078044")</f>
        <v>078044</v>
      </c>
      <c r="E161" s="2" t="str">
        <f>("622454780446")</f>
        <v>622454780446</v>
      </c>
      <c r="G161" s="2" t="s">
        <v>195</v>
      </c>
      <c r="H161" s="5">
        <v>4174.6899999999996</v>
      </c>
      <c r="I161" s="2" t="s">
        <v>18</v>
      </c>
      <c r="J161" s="3">
        <v>43013</v>
      </c>
      <c r="K161" s="2">
        <v>0.33100000000000002</v>
      </c>
      <c r="L161" s="2">
        <v>0.73</v>
      </c>
      <c r="M161" s="2">
        <v>20</v>
      </c>
      <c r="N161" s="2" t="s">
        <v>191</v>
      </c>
    </row>
    <row r="162" spans="1:14" x14ac:dyDescent="0.3">
      <c r="A162" s="2" t="s">
        <v>14</v>
      </c>
      <c r="B162" s="2" t="s">
        <v>15</v>
      </c>
      <c r="C162" s="2" t="s">
        <v>16</v>
      </c>
      <c r="D162" s="2" t="str">
        <f>("077297")</f>
        <v>077297</v>
      </c>
      <c r="E162" s="2" t="str">
        <f>("622454772977")</f>
        <v>622454772977</v>
      </c>
      <c r="G162" s="2" t="s">
        <v>196</v>
      </c>
      <c r="H162" s="5">
        <v>6053.4</v>
      </c>
      <c r="I162" s="2" t="s">
        <v>18</v>
      </c>
      <c r="J162" s="3">
        <v>43013</v>
      </c>
      <c r="K162" s="2">
        <v>0.499</v>
      </c>
      <c r="L162" s="2">
        <v>1.1000000000000001</v>
      </c>
      <c r="M162" s="2">
        <v>10</v>
      </c>
      <c r="N162" s="2" t="s">
        <v>191</v>
      </c>
    </row>
    <row r="163" spans="1:14" x14ac:dyDescent="0.3">
      <c r="A163" s="2" t="s">
        <v>14</v>
      </c>
      <c r="B163" s="2" t="s">
        <v>15</v>
      </c>
      <c r="C163" s="2" t="s">
        <v>16</v>
      </c>
      <c r="D163" s="2" t="str">
        <f>("077298")</f>
        <v>077298</v>
      </c>
      <c r="E163" s="2" t="str">
        <f>("622454772984")</f>
        <v>622454772984</v>
      </c>
      <c r="G163" s="2" t="s">
        <v>197</v>
      </c>
      <c r="H163" s="5">
        <v>7603.03</v>
      </c>
      <c r="I163" s="2" t="s">
        <v>18</v>
      </c>
      <c r="J163" s="3">
        <v>43013</v>
      </c>
      <c r="K163" s="2">
        <v>0.69699999999999995</v>
      </c>
      <c r="L163" s="2">
        <v>1.5369999999999999</v>
      </c>
      <c r="M163" s="2">
        <v>5</v>
      </c>
      <c r="N163" s="2" t="s">
        <v>191</v>
      </c>
    </row>
    <row r="164" spans="1:14" x14ac:dyDescent="0.3">
      <c r="A164" s="2" t="s">
        <v>14</v>
      </c>
      <c r="B164" s="2" t="s">
        <v>15</v>
      </c>
      <c r="C164" s="2" t="s">
        <v>16</v>
      </c>
      <c r="D164" s="2" t="str">
        <f>("277018")</f>
        <v>277018</v>
      </c>
      <c r="E164" s="2" t="str">
        <f>("622454806573")</f>
        <v>622454806573</v>
      </c>
      <c r="G164" s="2" t="s">
        <v>198</v>
      </c>
      <c r="H164" s="5">
        <v>7659.61</v>
      </c>
      <c r="I164" s="2" t="s">
        <v>18</v>
      </c>
      <c r="J164" s="3">
        <v>43013</v>
      </c>
      <c r="K164" s="2">
        <v>0.26500000000000001</v>
      </c>
      <c r="L164" s="2">
        <v>0.58399999999999996</v>
      </c>
      <c r="M164" s="2">
        <v>20</v>
      </c>
      <c r="N164" s="2" t="s">
        <v>199</v>
      </c>
    </row>
    <row r="165" spans="1:14" x14ac:dyDescent="0.3">
      <c r="A165" s="2" t="s">
        <v>14</v>
      </c>
      <c r="B165" s="2" t="s">
        <v>15</v>
      </c>
      <c r="C165" s="2" t="s">
        <v>16</v>
      </c>
      <c r="D165" s="2" t="str">
        <f>("277075")</f>
        <v>277075</v>
      </c>
      <c r="E165" s="2" t="str">
        <f>("622454810457")</f>
        <v>622454810457</v>
      </c>
      <c r="G165" s="2" t="s">
        <v>200</v>
      </c>
      <c r="H165" s="5">
        <v>10078.43</v>
      </c>
      <c r="I165" s="2" t="s">
        <v>18</v>
      </c>
      <c r="J165" s="3">
        <v>43013</v>
      </c>
      <c r="K165" s="2">
        <v>0.504</v>
      </c>
      <c r="L165" s="2">
        <v>1.111</v>
      </c>
      <c r="M165" s="2">
        <v>6</v>
      </c>
      <c r="N165" s="2" t="s">
        <v>199</v>
      </c>
    </row>
    <row r="166" spans="1:14" x14ac:dyDescent="0.3">
      <c r="A166" s="2" t="s">
        <v>14</v>
      </c>
      <c r="B166" s="2" t="s">
        <v>15</v>
      </c>
      <c r="C166" s="2" t="s">
        <v>16</v>
      </c>
      <c r="D166" s="2" t="str">
        <f>("277074")</f>
        <v>277074</v>
      </c>
      <c r="E166" s="2" t="str">
        <f>("622454809178")</f>
        <v>622454809178</v>
      </c>
      <c r="G166" s="2" t="s">
        <v>201</v>
      </c>
      <c r="H166" s="5">
        <v>13101.96</v>
      </c>
      <c r="I166" s="2" t="s">
        <v>18</v>
      </c>
      <c r="J166" s="3">
        <v>43013</v>
      </c>
      <c r="K166" s="2">
        <v>0.61299999999999999</v>
      </c>
      <c r="L166" s="2">
        <v>1.351</v>
      </c>
      <c r="M166" s="2">
        <v>6</v>
      </c>
      <c r="N166" s="2" t="s">
        <v>199</v>
      </c>
    </row>
    <row r="167" spans="1:14" x14ac:dyDescent="0.3">
      <c r="A167" s="2" t="s">
        <v>14</v>
      </c>
      <c r="B167" s="2" t="s">
        <v>15</v>
      </c>
      <c r="C167" s="2" t="s">
        <v>16</v>
      </c>
      <c r="D167" s="2" t="str">
        <f>("077225")</f>
        <v>077225</v>
      </c>
      <c r="E167" s="2" t="str">
        <f>("622454772250")</f>
        <v>622454772250</v>
      </c>
      <c r="G167" s="2" t="s">
        <v>202</v>
      </c>
      <c r="H167" s="5">
        <v>6905.37</v>
      </c>
      <c r="I167" s="2" t="s">
        <v>18</v>
      </c>
      <c r="J167" s="3">
        <v>43013</v>
      </c>
      <c r="K167" s="2">
        <v>0.999</v>
      </c>
      <c r="L167" s="2">
        <v>2.202</v>
      </c>
      <c r="M167" s="2">
        <v>6</v>
      </c>
      <c r="N167" s="2" t="s">
        <v>203</v>
      </c>
    </row>
    <row r="168" spans="1:14" x14ac:dyDescent="0.3">
      <c r="A168" s="2" t="s">
        <v>14</v>
      </c>
      <c r="B168" s="2" t="s">
        <v>15</v>
      </c>
      <c r="C168" s="2" t="s">
        <v>16</v>
      </c>
      <c r="D168" s="2" t="str">
        <f>("077237")</f>
        <v>077237</v>
      </c>
      <c r="E168" s="2" t="str">
        <f>("622454772373")</f>
        <v>622454772373</v>
      </c>
      <c r="G168" s="2" t="s">
        <v>204</v>
      </c>
      <c r="H168" s="5">
        <v>6361.14</v>
      </c>
      <c r="I168" s="2" t="s">
        <v>18</v>
      </c>
      <c r="J168" s="3">
        <v>43013</v>
      </c>
      <c r="K168" s="2">
        <v>0.91400000000000003</v>
      </c>
      <c r="L168" s="2">
        <v>2.0150000000000001</v>
      </c>
      <c r="M168" s="2">
        <v>6</v>
      </c>
      <c r="N168" s="2" t="s">
        <v>203</v>
      </c>
    </row>
    <row r="169" spans="1:14" x14ac:dyDescent="0.3">
      <c r="A169" s="2" t="s">
        <v>14</v>
      </c>
      <c r="B169" s="2" t="s">
        <v>15</v>
      </c>
      <c r="C169" s="2" t="s">
        <v>16</v>
      </c>
      <c r="D169" s="2" t="str">
        <f>("077120")</f>
        <v>077120</v>
      </c>
      <c r="E169" s="2" t="str">
        <f>("622454771208")</f>
        <v>622454771208</v>
      </c>
      <c r="G169" s="2" t="s">
        <v>205</v>
      </c>
      <c r="H169" s="5">
        <v>8076.97</v>
      </c>
      <c r="I169" s="2" t="s">
        <v>18</v>
      </c>
      <c r="J169" s="3">
        <v>43013</v>
      </c>
      <c r="K169" s="2">
        <v>1.0529999999999999</v>
      </c>
      <c r="L169" s="2">
        <v>2.3210000000000002</v>
      </c>
      <c r="M169" s="2">
        <v>6</v>
      </c>
      <c r="N169" s="2" t="s">
        <v>203</v>
      </c>
    </row>
    <row r="170" spans="1:14" x14ac:dyDescent="0.3">
      <c r="A170" s="2" t="s">
        <v>14</v>
      </c>
      <c r="B170" s="2" t="s">
        <v>15</v>
      </c>
      <c r="C170" s="2" t="s">
        <v>16</v>
      </c>
      <c r="D170" s="2" t="str">
        <f>("077122")</f>
        <v>077122</v>
      </c>
      <c r="E170" s="2" t="str">
        <f>("622454771222")</f>
        <v>622454771222</v>
      </c>
      <c r="G170" s="2" t="s">
        <v>206</v>
      </c>
      <c r="H170" s="5">
        <v>9146.1</v>
      </c>
      <c r="I170" s="2" t="s">
        <v>18</v>
      </c>
      <c r="J170" s="3">
        <v>43013</v>
      </c>
      <c r="K170" s="2">
        <v>0.99399999999999999</v>
      </c>
      <c r="L170" s="2">
        <v>2.1909999999999998</v>
      </c>
      <c r="M170" s="2">
        <v>6</v>
      </c>
      <c r="N170" s="2" t="s">
        <v>203</v>
      </c>
    </row>
    <row r="171" spans="1:14" x14ac:dyDescent="0.3">
      <c r="A171" s="2" t="s">
        <v>14</v>
      </c>
      <c r="B171" s="2" t="s">
        <v>15</v>
      </c>
      <c r="C171" s="2" t="s">
        <v>16</v>
      </c>
      <c r="D171" s="2" t="str">
        <f>("077210")</f>
        <v>077210</v>
      </c>
      <c r="E171" s="2" t="str">
        <f>("622454772106")</f>
        <v>622454772106</v>
      </c>
      <c r="G171" s="2" t="s">
        <v>207</v>
      </c>
      <c r="H171" s="5">
        <v>14322.25</v>
      </c>
      <c r="I171" s="2" t="s">
        <v>18</v>
      </c>
      <c r="J171" s="3">
        <v>43013</v>
      </c>
      <c r="K171" s="2">
        <v>1.0580000000000001</v>
      </c>
      <c r="L171" s="2">
        <v>2.3319999999999999</v>
      </c>
      <c r="M171" s="2">
        <v>6</v>
      </c>
      <c r="N171" s="2" t="s">
        <v>203</v>
      </c>
    </row>
    <row r="172" spans="1:14" x14ac:dyDescent="0.3">
      <c r="A172" s="2" t="s">
        <v>14</v>
      </c>
      <c r="B172" s="2" t="s">
        <v>15</v>
      </c>
      <c r="C172" s="2" t="s">
        <v>16</v>
      </c>
      <c r="D172" s="2" t="str">
        <f>("077170")</f>
        <v>077170</v>
      </c>
      <c r="E172" s="2" t="str">
        <f>("622454771703")</f>
        <v>622454771703</v>
      </c>
      <c r="G172" s="2" t="s">
        <v>208</v>
      </c>
      <c r="H172" s="5">
        <v>14705.88</v>
      </c>
      <c r="I172" s="2" t="s">
        <v>18</v>
      </c>
      <c r="J172" s="3">
        <v>43013</v>
      </c>
      <c r="K172" s="2">
        <v>1.1459999999999999</v>
      </c>
      <c r="L172" s="2">
        <v>2.5259999999999998</v>
      </c>
      <c r="M172" s="2">
        <v>6</v>
      </c>
      <c r="N172" s="2" t="s">
        <v>203</v>
      </c>
    </row>
    <row r="173" spans="1:14" x14ac:dyDescent="0.3">
      <c r="A173" s="2" t="s">
        <v>14</v>
      </c>
      <c r="B173" s="2" t="s">
        <v>15</v>
      </c>
      <c r="C173" s="2" t="s">
        <v>16</v>
      </c>
      <c r="D173" s="2" t="str">
        <f>("077145")</f>
        <v>077145</v>
      </c>
      <c r="E173" s="2" t="str">
        <f>("622454771451")</f>
        <v>622454771451</v>
      </c>
      <c r="G173" s="2" t="s">
        <v>209</v>
      </c>
      <c r="H173" s="5">
        <v>7445.84</v>
      </c>
      <c r="I173" s="2" t="s">
        <v>18</v>
      </c>
      <c r="J173" s="3">
        <v>43013</v>
      </c>
      <c r="K173" s="2">
        <v>0.64400000000000002</v>
      </c>
      <c r="L173" s="2">
        <v>1.42</v>
      </c>
      <c r="M173" s="2">
        <v>6</v>
      </c>
      <c r="N173" s="2" t="s">
        <v>203</v>
      </c>
    </row>
    <row r="174" spans="1:14" x14ac:dyDescent="0.3">
      <c r="A174" s="2" t="s">
        <v>14</v>
      </c>
      <c r="B174" s="2" t="s">
        <v>15</v>
      </c>
      <c r="C174" s="2" t="s">
        <v>16</v>
      </c>
      <c r="D174" s="2" t="str">
        <f>("077155")</f>
        <v>077155</v>
      </c>
      <c r="E174" s="2" t="str">
        <f>("622454771550")</f>
        <v>622454771550</v>
      </c>
      <c r="G174" s="2" t="s">
        <v>210</v>
      </c>
      <c r="H174" s="5">
        <v>8234.65</v>
      </c>
      <c r="I174" s="2" t="s">
        <v>18</v>
      </c>
      <c r="J174" s="3">
        <v>43013</v>
      </c>
      <c r="K174" s="2">
        <v>0.59799999999999998</v>
      </c>
      <c r="L174" s="2">
        <v>1.3180000000000001</v>
      </c>
      <c r="M174" s="2">
        <v>6</v>
      </c>
      <c r="N174" s="2" t="s">
        <v>203</v>
      </c>
    </row>
    <row r="175" spans="1:14" x14ac:dyDescent="0.3">
      <c r="A175" s="2" t="s">
        <v>14</v>
      </c>
      <c r="B175" s="2" t="s">
        <v>15</v>
      </c>
      <c r="C175" s="2" t="s">
        <v>16</v>
      </c>
      <c r="D175" s="2" t="str">
        <f>("077165")</f>
        <v>077165</v>
      </c>
      <c r="E175" s="2" t="str">
        <f>("622454771659")</f>
        <v>622454771659</v>
      </c>
      <c r="G175" s="2" t="s">
        <v>211</v>
      </c>
      <c r="H175" s="5">
        <v>8234.65</v>
      </c>
      <c r="I175" s="2" t="s">
        <v>18</v>
      </c>
      <c r="J175" s="3">
        <v>43013</v>
      </c>
      <c r="K175" s="2">
        <v>0.60599999999999998</v>
      </c>
      <c r="L175" s="2">
        <v>1.3360000000000001</v>
      </c>
      <c r="M175" s="2">
        <v>6</v>
      </c>
      <c r="N175" s="2" t="s">
        <v>203</v>
      </c>
    </row>
    <row r="176" spans="1:14" x14ac:dyDescent="0.3">
      <c r="A176" s="2" t="s">
        <v>14</v>
      </c>
      <c r="B176" s="2" t="s">
        <v>15</v>
      </c>
      <c r="C176" s="2" t="s">
        <v>16</v>
      </c>
      <c r="D176" s="2" t="str">
        <f>("077211")</f>
        <v>077211</v>
      </c>
      <c r="E176" s="2" t="str">
        <f>("622454772113")</f>
        <v>622454772113</v>
      </c>
      <c r="G176" s="2" t="s">
        <v>212</v>
      </c>
      <c r="H176" s="5">
        <v>13088.78</v>
      </c>
      <c r="I176" s="2" t="s">
        <v>18</v>
      </c>
      <c r="J176" s="3">
        <v>43013</v>
      </c>
      <c r="K176" s="2">
        <v>0.67</v>
      </c>
      <c r="L176" s="2">
        <v>1.4770000000000001</v>
      </c>
      <c r="M176" s="2">
        <v>6</v>
      </c>
      <c r="N176" s="2" t="s">
        <v>203</v>
      </c>
    </row>
    <row r="177" spans="1:14" x14ac:dyDescent="0.3">
      <c r="A177" s="2" t="s">
        <v>14</v>
      </c>
      <c r="B177" s="2" t="s">
        <v>15</v>
      </c>
      <c r="C177" s="2" t="s">
        <v>16</v>
      </c>
      <c r="D177" s="2" t="str">
        <f>("077176")</f>
        <v>077176</v>
      </c>
      <c r="E177" s="2" t="str">
        <f>("622454771765")</f>
        <v>622454771765</v>
      </c>
      <c r="G177" s="2" t="s">
        <v>213</v>
      </c>
      <c r="H177" s="5">
        <v>13088.78</v>
      </c>
      <c r="I177" s="2" t="s">
        <v>18</v>
      </c>
      <c r="J177" s="3">
        <v>43013</v>
      </c>
      <c r="K177" s="2">
        <v>0.755</v>
      </c>
      <c r="L177" s="2">
        <v>1.6639999999999999</v>
      </c>
      <c r="M177" s="2">
        <v>6</v>
      </c>
      <c r="N177" s="2" t="s">
        <v>203</v>
      </c>
    </row>
    <row r="178" spans="1:14" x14ac:dyDescent="0.3">
      <c r="A178" s="2" t="s">
        <v>14</v>
      </c>
      <c r="B178" s="2" t="s">
        <v>15</v>
      </c>
      <c r="C178" s="2" t="s">
        <v>16</v>
      </c>
      <c r="D178" s="2" t="str">
        <f>("077231")</f>
        <v>077231</v>
      </c>
      <c r="E178" s="2" t="str">
        <f>("622454772311")</f>
        <v>622454772311</v>
      </c>
      <c r="G178" s="2" t="s">
        <v>214</v>
      </c>
      <c r="H178" s="5">
        <v>6649.62</v>
      </c>
      <c r="I178" s="2" t="s">
        <v>18</v>
      </c>
      <c r="J178" s="3">
        <v>43013</v>
      </c>
      <c r="K178" s="2">
        <v>0.89900000000000002</v>
      </c>
      <c r="L178" s="2">
        <v>1.982</v>
      </c>
      <c r="M178" s="2">
        <v>6</v>
      </c>
      <c r="N178" s="2" t="s">
        <v>203</v>
      </c>
    </row>
    <row r="179" spans="1:14" x14ac:dyDescent="0.3">
      <c r="A179" s="2" t="s">
        <v>14</v>
      </c>
      <c r="B179" s="2" t="s">
        <v>15</v>
      </c>
      <c r="C179" s="2" t="s">
        <v>16</v>
      </c>
      <c r="D179" s="2" t="str">
        <f>("077185")</f>
        <v>077185</v>
      </c>
      <c r="E179" s="2" t="str">
        <f>("622454771857")</f>
        <v>622454771857</v>
      </c>
      <c r="G179" s="2" t="s">
        <v>215</v>
      </c>
      <c r="H179" s="5">
        <v>8974.7099999999991</v>
      </c>
      <c r="I179" s="2" t="s">
        <v>18</v>
      </c>
      <c r="J179" s="3">
        <v>43013</v>
      </c>
      <c r="K179" s="2">
        <v>0.89700000000000002</v>
      </c>
      <c r="L179" s="2">
        <v>1.978</v>
      </c>
      <c r="M179" s="2">
        <v>6</v>
      </c>
      <c r="N179" s="2" t="s">
        <v>203</v>
      </c>
    </row>
    <row r="180" spans="1:14" x14ac:dyDescent="0.3">
      <c r="A180" s="2" t="s">
        <v>14</v>
      </c>
      <c r="B180" s="2" t="s">
        <v>15</v>
      </c>
      <c r="C180" s="2" t="s">
        <v>16</v>
      </c>
      <c r="D180" s="2" t="str">
        <f>("077212")</f>
        <v>077212</v>
      </c>
      <c r="E180" s="2" t="str">
        <f>("622454772120")</f>
        <v>622454772120</v>
      </c>
      <c r="G180" s="2" t="s">
        <v>216</v>
      </c>
      <c r="H180" s="5">
        <v>13810.74</v>
      </c>
      <c r="I180" s="2" t="s">
        <v>18</v>
      </c>
      <c r="J180" s="3">
        <v>43013</v>
      </c>
      <c r="K180" s="2">
        <v>0.95899999999999996</v>
      </c>
      <c r="L180" s="2">
        <v>2.1139999999999999</v>
      </c>
      <c r="M180" s="2">
        <v>6</v>
      </c>
      <c r="N180" s="2" t="s">
        <v>203</v>
      </c>
    </row>
    <row r="181" spans="1:14" x14ac:dyDescent="0.3">
      <c r="A181" s="2" t="s">
        <v>14</v>
      </c>
      <c r="B181" s="2" t="s">
        <v>15</v>
      </c>
      <c r="C181" s="2" t="s">
        <v>16</v>
      </c>
      <c r="D181" s="2" t="str">
        <f>("077184")</f>
        <v>077184</v>
      </c>
      <c r="E181" s="2" t="str">
        <f>("622454771840")</f>
        <v>622454771840</v>
      </c>
      <c r="G181" s="2" t="s">
        <v>217</v>
      </c>
      <c r="H181" s="5">
        <v>14705.88</v>
      </c>
      <c r="I181" s="2" t="s">
        <v>18</v>
      </c>
      <c r="J181" s="3">
        <v>43013</v>
      </c>
      <c r="K181" s="2">
        <v>1.046</v>
      </c>
      <c r="L181" s="2">
        <v>2.306</v>
      </c>
      <c r="M181" s="2">
        <v>6</v>
      </c>
      <c r="N181" s="2" t="s">
        <v>203</v>
      </c>
    </row>
    <row r="182" spans="1:14" x14ac:dyDescent="0.3">
      <c r="A182" s="2" t="s">
        <v>14</v>
      </c>
      <c r="B182" s="2" t="s">
        <v>15</v>
      </c>
      <c r="C182" s="2" t="s">
        <v>16</v>
      </c>
      <c r="D182" s="2" t="str">
        <f>("077345")</f>
        <v>077345</v>
      </c>
      <c r="E182" s="2" t="str">
        <f>("622454773455")</f>
        <v>622454773455</v>
      </c>
      <c r="G182" s="2" t="s">
        <v>218</v>
      </c>
      <c r="H182" s="5">
        <v>6956.82</v>
      </c>
      <c r="I182" s="2" t="s">
        <v>18</v>
      </c>
      <c r="J182" s="3">
        <v>43013</v>
      </c>
      <c r="K182" s="2">
        <v>0.54500000000000004</v>
      </c>
      <c r="L182" s="2">
        <v>1.202</v>
      </c>
      <c r="M182" s="2">
        <v>6</v>
      </c>
      <c r="N182" s="2" t="s">
        <v>203</v>
      </c>
    </row>
    <row r="183" spans="1:14" x14ac:dyDescent="0.3">
      <c r="A183" s="2" t="s">
        <v>14</v>
      </c>
      <c r="B183" s="2" t="s">
        <v>15</v>
      </c>
      <c r="C183" s="2" t="s">
        <v>16</v>
      </c>
      <c r="D183" s="2" t="str">
        <f>("077355")</f>
        <v>077355</v>
      </c>
      <c r="E183" s="2" t="str">
        <f>("622454773554")</f>
        <v>622454773554</v>
      </c>
      <c r="G183" s="2" t="s">
        <v>219</v>
      </c>
      <c r="H183" s="5">
        <v>8043.9</v>
      </c>
      <c r="I183" s="2" t="s">
        <v>18</v>
      </c>
      <c r="J183" s="3">
        <v>43013</v>
      </c>
      <c r="K183" s="2">
        <v>0.54300000000000004</v>
      </c>
      <c r="L183" s="2">
        <v>1.1970000000000001</v>
      </c>
      <c r="M183" s="2">
        <v>6</v>
      </c>
      <c r="N183" s="2" t="s">
        <v>203</v>
      </c>
    </row>
    <row r="184" spans="1:14" x14ac:dyDescent="0.3">
      <c r="A184" s="2" t="s">
        <v>14</v>
      </c>
      <c r="B184" s="2" t="s">
        <v>15</v>
      </c>
      <c r="C184" s="2" t="s">
        <v>16</v>
      </c>
      <c r="D184" s="2" t="str">
        <f>("077375")</f>
        <v>077375</v>
      </c>
      <c r="E184" s="2" t="str">
        <f>("622454773752")</f>
        <v>622454773752</v>
      </c>
      <c r="G184" s="2" t="s">
        <v>220</v>
      </c>
      <c r="H184" s="5">
        <v>12913.54</v>
      </c>
      <c r="I184" s="2" t="s">
        <v>18</v>
      </c>
      <c r="J184" s="3">
        <v>43013</v>
      </c>
      <c r="K184" s="2">
        <v>0.65500000000000003</v>
      </c>
      <c r="L184" s="2">
        <v>1.444</v>
      </c>
      <c r="M184" s="2">
        <v>6</v>
      </c>
      <c r="N184" s="2" t="s">
        <v>203</v>
      </c>
    </row>
    <row r="185" spans="1:14" x14ac:dyDescent="0.3">
      <c r="A185" s="2" t="s">
        <v>14</v>
      </c>
      <c r="B185" s="2" t="s">
        <v>15</v>
      </c>
      <c r="C185" s="2" t="s">
        <v>16</v>
      </c>
      <c r="D185" s="2" t="str">
        <f>("077233")</f>
        <v>077233</v>
      </c>
      <c r="E185" s="2" t="str">
        <f>("622454772335")</f>
        <v>622454772335</v>
      </c>
      <c r="G185" s="2" t="s">
        <v>221</v>
      </c>
      <c r="H185" s="5">
        <v>2173.91</v>
      </c>
      <c r="I185" s="2" t="s">
        <v>18</v>
      </c>
      <c r="J185" s="3">
        <v>43013</v>
      </c>
      <c r="K185" s="2">
        <v>0.19400000000000001</v>
      </c>
      <c r="L185" s="2">
        <v>0.42799999999999999</v>
      </c>
      <c r="M185" s="2">
        <v>10</v>
      </c>
      <c r="N185" s="2" t="s">
        <v>222</v>
      </c>
    </row>
    <row r="186" spans="1:14" x14ac:dyDescent="0.3">
      <c r="A186" s="2" t="s">
        <v>14</v>
      </c>
      <c r="B186" s="2" t="s">
        <v>15</v>
      </c>
      <c r="C186" s="2" t="s">
        <v>16</v>
      </c>
      <c r="D186" s="2" t="str">
        <f>("078666")</f>
        <v>078666</v>
      </c>
      <c r="E186" s="2" t="str">
        <f>("622454786660")</f>
        <v>622454786660</v>
      </c>
      <c r="G186" s="2" t="s">
        <v>223</v>
      </c>
      <c r="H186" s="5">
        <v>3318.26</v>
      </c>
      <c r="I186" s="2" t="s">
        <v>18</v>
      </c>
      <c r="J186" s="3">
        <v>43013</v>
      </c>
      <c r="K186" s="2">
        <v>0.78800000000000003</v>
      </c>
      <c r="L186" s="2">
        <v>1.7370000000000001</v>
      </c>
      <c r="M186" s="2">
        <v>6</v>
      </c>
      <c r="N186" s="2" t="s">
        <v>224</v>
      </c>
    </row>
    <row r="187" spans="1:14" x14ac:dyDescent="0.3">
      <c r="A187" s="2" t="s">
        <v>14</v>
      </c>
      <c r="B187" s="2" t="s">
        <v>15</v>
      </c>
      <c r="C187" s="2" t="s">
        <v>16</v>
      </c>
      <c r="D187" s="2" t="str">
        <f>("278033")</f>
        <v>278033</v>
      </c>
      <c r="E187" s="2" t="str">
        <f>("622454247390")</f>
        <v>622454247390</v>
      </c>
      <c r="G187" s="2" t="s">
        <v>225</v>
      </c>
      <c r="H187" s="5">
        <v>3318.26</v>
      </c>
      <c r="I187" s="2" t="s">
        <v>18</v>
      </c>
      <c r="J187" s="3">
        <v>43013</v>
      </c>
      <c r="K187" s="2">
        <v>0.48299999999999998</v>
      </c>
      <c r="L187" s="2">
        <v>1.0649999999999999</v>
      </c>
      <c r="M187" s="2">
        <v>6</v>
      </c>
      <c r="N187" s="2" t="s">
        <v>224</v>
      </c>
    </row>
    <row r="188" spans="1:14" x14ac:dyDescent="0.3">
      <c r="A188" s="2" t="s">
        <v>14</v>
      </c>
      <c r="B188" s="2" t="s">
        <v>15</v>
      </c>
      <c r="C188" s="2" t="s">
        <v>16</v>
      </c>
      <c r="D188" s="2" t="str">
        <f>("278036")</f>
        <v>278036</v>
      </c>
      <c r="E188" s="2" t="str">
        <f>("622454296589")</f>
        <v>622454296589</v>
      </c>
      <c r="G188" s="2" t="s">
        <v>226</v>
      </c>
      <c r="H188" s="5">
        <v>4977.3900000000003</v>
      </c>
      <c r="I188" s="2" t="s">
        <v>18</v>
      </c>
      <c r="J188" s="3">
        <v>43013</v>
      </c>
      <c r="K188" s="2">
        <v>0.88600000000000001</v>
      </c>
      <c r="L188" s="2">
        <v>1.9530000000000001</v>
      </c>
      <c r="M188" s="2">
        <v>6</v>
      </c>
      <c r="N188" s="2" t="s">
        <v>224</v>
      </c>
    </row>
    <row r="189" spans="1:14" x14ac:dyDescent="0.3">
      <c r="A189" s="2" t="s">
        <v>14</v>
      </c>
      <c r="B189" s="2" t="s">
        <v>15</v>
      </c>
      <c r="C189" s="2" t="s">
        <v>16</v>
      </c>
      <c r="D189" s="2" t="str">
        <f>("078716")</f>
        <v>078716</v>
      </c>
      <c r="E189" s="2" t="str">
        <f>("622454787162")</f>
        <v>622454787162</v>
      </c>
      <c r="G189" s="2" t="s">
        <v>227</v>
      </c>
      <c r="H189" s="5">
        <v>4680.13</v>
      </c>
      <c r="I189" s="2" t="s">
        <v>18</v>
      </c>
      <c r="J189" s="3">
        <v>43013</v>
      </c>
      <c r="K189" s="2">
        <v>0.80100000000000005</v>
      </c>
      <c r="L189" s="2">
        <v>1.766</v>
      </c>
      <c r="M189" s="2">
        <v>6</v>
      </c>
      <c r="N189" s="2" t="s">
        <v>224</v>
      </c>
    </row>
    <row r="190" spans="1:14" x14ac:dyDescent="0.3">
      <c r="A190" s="2" t="s">
        <v>14</v>
      </c>
      <c r="B190" s="2" t="s">
        <v>15</v>
      </c>
      <c r="C190" s="2" t="s">
        <v>16</v>
      </c>
      <c r="D190" s="2" t="str">
        <f>("078736")</f>
        <v>078736</v>
      </c>
      <c r="E190" s="2" t="str">
        <f>("622454014091")</f>
        <v>622454014091</v>
      </c>
      <c r="G190" s="2" t="s">
        <v>228</v>
      </c>
      <c r="H190" s="5">
        <v>4770</v>
      </c>
      <c r="I190" s="2" t="s">
        <v>18</v>
      </c>
      <c r="J190" s="3">
        <v>43013</v>
      </c>
      <c r="K190" s="2">
        <v>0.997</v>
      </c>
      <c r="L190" s="2">
        <v>2.198</v>
      </c>
      <c r="M190" s="2">
        <v>6</v>
      </c>
      <c r="N190" s="2" t="s">
        <v>224</v>
      </c>
    </row>
    <row r="191" spans="1:14" x14ac:dyDescent="0.3">
      <c r="A191" s="2" t="s">
        <v>14</v>
      </c>
      <c r="B191" s="2" t="s">
        <v>15</v>
      </c>
      <c r="C191" s="2" t="s">
        <v>16</v>
      </c>
      <c r="D191" s="2" t="str">
        <f>("078738")</f>
        <v>078738</v>
      </c>
      <c r="E191" s="2" t="str">
        <f>("622454014107")</f>
        <v>622454014107</v>
      </c>
      <c r="G191" s="2" t="s">
        <v>229</v>
      </c>
      <c r="H191" s="5">
        <v>4770</v>
      </c>
      <c r="I191" s="2" t="s">
        <v>18</v>
      </c>
      <c r="J191" s="3">
        <v>43013</v>
      </c>
      <c r="K191" s="2">
        <v>0.92</v>
      </c>
      <c r="L191" s="2">
        <v>2.028</v>
      </c>
      <c r="M191" s="2">
        <v>6</v>
      </c>
      <c r="N191" s="2" t="s">
        <v>224</v>
      </c>
    </row>
    <row r="192" spans="1:14" x14ac:dyDescent="0.3">
      <c r="A192" s="2" t="s">
        <v>14</v>
      </c>
      <c r="B192" s="2" t="s">
        <v>15</v>
      </c>
      <c r="C192" s="2" t="s">
        <v>16</v>
      </c>
      <c r="D192" s="2" t="str">
        <f>("078748")</f>
        <v>078748</v>
      </c>
      <c r="E192" s="2" t="str">
        <f>("622454014121")</f>
        <v>622454014121</v>
      </c>
      <c r="G192" s="2" t="s">
        <v>230</v>
      </c>
      <c r="H192" s="5">
        <v>4770</v>
      </c>
      <c r="I192" s="2" t="s">
        <v>18</v>
      </c>
      <c r="J192" s="3">
        <v>43013</v>
      </c>
      <c r="K192" s="2">
        <v>0.80100000000000005</v>
      </c>
      <c r="L192" s="2">
        <v>1.766</v>
      </c>
      <c r="M192" s="2">
        <v>6</v>
      </c>
      <c r="N192" s="2" t="s">
        <v>224</v>
      </c>
    </row>
    <row r="193" spans="1:14" x14ac:dyDescent="0.3">
      <c r="A193" s="2" t="s">
        <v>14</v>
      </c>
      <c r="B193" s="2" t="s">
        <v>15</v>
      </c>
      <c r="C193" s="2" t="s">
        <v>16</v>
      </c>
      <c r="D193" s="2" t="str">
        <f>("078749")</f>
        <v>078749</v>
      </c>
      <c r="E193" s="2" t="str">
        <f>("622454014138")</f>
        <v>622454014138</v>
      </c>
      <c r="G193" s="2" t="s">
        <v>231</v>
      </c>
      <c r="H193" s="5">
        <v>4770</v>
      </c>
      <c r="I193" s="2" t="s">
        <v>18</v>
      </c>
      <c r="J193" s="3">
        <v>43013</v>
      </c>
      <c r="K193" s="2">
        <v>0.93200000000000005</v>
      </c>
      <c r="L193" s="2">
        <v>2.0550000000000002</v>
      </c>
      <c r="M193" s="2">
        <v>6</v>
      </c>
      <c r="N193" s="2" t="s">
        <v>224</v>
      </c>
    </row>
    <row r="194" spans="1:14" x14ac:dyDescent="0.3">
      <c r="A194" s="2" t="s">
        <v>14</v>
      </c>
      <c r="B194" s="2" t="s">
        <v>15</v>
      </c>
      <c r="C194" s="2" t="s">
        <v>16</v>
      </c>
      <c r="D194" s="2" t="str">
        <f>("077558")</f>
        <v>077558</v>
      </c>
      <c r="E194" s="2" t="str">
        <f>("622454775589")</f>
        <v>622454775589</v>
      </c>
      <c r="G194" s="2" t="s">
        <v>232</v>
      </c>
      <c r="H194" s="5">
        <v>1659.13</v>
      </c>
      <c r="I194" s="2" t="s">
        <v>18</v>
      </c>
      <c r="J194" s="3">
        <v>43013</v>
      </c>
      <c r="K194" s="2">
        <v>9.4E-2</v>
      </c>
      <c r="L194" s="2">
        <v>0.20699999999999999</v>
      </c>
      <c r="M194" s="2">
        <v>24</v>
      </c>
      <c r="N194" s="2" t="s">
        <v>224</v>
      </c>
    </row>
    <row r="195" spans="1:14" x14ac:dyDescent="0.3">
      <c r="A195" s="2" t="s">
        <v>14</v>
      </c>
      <c r="B195" s="2" t="s">
        <v>15</v>
      </c>
      <c r="C195" s="2" t="s">
        <v>16</v>
      </c>
      <c r="D195" s="2" t="str">
        <f>("077275")</f>
        <v>077275</v>
      </c>
      <c r="E195" s="2" t="str">
        <f>("622454231931")</f>
        <v>622454231931</v>
      </c>
      <c r="G195" s="2" t="s">
        <v>233</v>
      </c>
      <c r="H195" s="5">
        <v>7310.8</v>
      </c>
      <c r="I195" s="2" t="s">
        <v>18</v>
      </c>
      <c r="J195" s="3">
        <v>43013</v>
      </c>
      <c r="K195" s="2">
        <v>0.999</v>
      </c>
      <c r="L195" s="2">
        <v>2.202</v>
      </c>
      <c r="M195" s="2">
        <v>6</v>
      </c>
      <c r="N195" s="2" t="s">
        <v>203</v>
      </c>
    </row>
    <row r="196" spans="1:14" x14ac:dyDescent="0.3">
      <c r="A196" s="2" t="s">
        <v>14</v>
      </c>
      <c r="B196" s="2" t="s">
        <v>15</v>
      </c>
      <c r="C196" s="2" t="s">
        <v>16</v>
      </c>
      <c r="D196" s="2" t="str">
        <f>("077276")</f>
        <v>077276</v>
      </c>
      <c r="E196" s="2" t="str">
        <f>("622454231948")</f>
        <v>622454231948</v>
      </c>
      <c r="G196" s="2" t="s">
        <v>234</v>
      </c>
      <c r="H196" s="5">
        <v>7736.58</v>
      </c>
      <c r="I196" s="2" t="s">
        <v>18</v>
      </c>
      <c r="J196" s="3">
        <v>43013</v>
      </c>
      <c r="K196" s="2">
        <v>0.89900000000000002</v>
      </c>
      <c r="L196" s="2">
        <v>1.982</v>
      </c>
      <c r="M196" s="2">
        <v>6</v>
      </c>
      <c r="N196" s="2" t="s">
        <v>203</v>
      </c>
    </row>
    <row r="197" spans="1:14" x14ac:dyDescent="0.3">
      <c r="A197" s="2" t="s">
        <v>14</v>
      </c>
      <c r="B197" s="2" t="s">
        <v>15</v>
      </c>
      <c r="C197" s="2" t="s">
        <v>16</v>
      </c>
      <c r="D197" s="2" t="str">
        <f>("077233")</f>
        <v>077233</v>
      </c>
      <c r="E197" s="2" t="str">
        <f>("622454772335")</f>
        <v>622454772335</v>
      </c>
      <c r="G197" s="2" t="s">
        <v>221</v>
      </c>
      <c r="H197" s="5">
        <v>2173.91</v>
      </c>
      <c r="I197" s="2" t="s">
        <v>18</v>
      </c>
      <c r="J197" s="3">
        <v>43013</v>
      </c>
      <c r="K197" s="2">
        <v>0.19400000000000001</v>
      </c>
      <c r="L197" s="2">
        <v>0.42799999999999999</v>
      </c>
      <c r="M197" s="2">
        <v>10</v>
      </c>
      <c r="N197" s="2" t="s">
        <v>222</v>
      </c>
    </row>
    <row r="198" spans="1:14" x14ac:dyDescent="0.3">
      <c r="A198" s="2" t="s">
        <v>14</v>
      </c>
      <c r="B198" s="2" t="s">
        <v>15</v>
      </c>
      <c r="C198" s="2" t="s">
        <v>16</v>
      </c>
      <c r="D198" s="2" t="str">
        <f>("077414")</f>
        <v>077414</v>
      </c>
      <c r="E198" s="2" t="str">
        <f>("622454774148")</f>
        <v>622454774148</v>
      </c>
      <c r="G198" s="2" t="s">
        <v>235</v>
      </c>
      <c r="H198" s="5">
        <v>7800.51</v>
      </c>
      <c r="I198" s="2" t="s">
        <v>18</v>
      </c>
      <c r="J198" s="3">
        <v>43013</v>
      </c>
      <c r="K198" s="2">
        <v>1.0089999999999999</v>
      </c>
      <c r="L198" s="2">
        <v>2.2240000000000002</v>
      </c>
      <c r="M198" s="2">
        <v>6</v>
      </c>
      <c r="N198" s="2" t="s">
        <v>236</v>
      </c>
    </row>
    <row r="199" spans="1:14" x14ac:dyDescent="0.3">
      <c r="A199" s="2" t="s">
        <v>14</v>
      </c>
      <c r="B199" s="2" t="s">
        <v>15</v>
      </c>
      <c r="C199" s="2" t="s">
        <v>16</v>
      </c>
      <c r="D199" s="2" t="str">
        <f>("077415")</f>
        <v>077415</v>
      </c>
      <c r="E199" s="2" t="str">
        <f>("622454272392")</f>
        <v>622454272392</v>
      </c>
      <c r="G199" s="2" t="s">
        <v>237</v>
      </c>
      <c r="H199" s="5">
        <v>8631.7199999999993</v>
      </c>
      <c r="I199" s="2" t="s">
        <v>18</v>
      </c>
      <c r="J199" s="3">
        <v>43013</v>
      </c>
      <c r="K199" s="2">
        <v>1.204</v>
      </c>
      <c r="L199" s="2">
        <v>2.6539999999999999</v>
      </c>
      <c r="M199" s="2">
        <v>6</v>
      </c>
      <c r="N199" s="2" t="s">
        <v>236</v>
      </c>
    </row>
    <row r="200" spans="1:14" x14ac:dyDescent="0.3">
      <c r="A200" s="2" t="s">
        <v>14</v>
      </c>
      <c r="B200" s="2" t="s">
        <v>15</v>
      </c>
      <c r="C200" s="2" t="s">
        <v>16</v>
      </c>
      <c r="D200" s="2" t="str">
        <f>("077416")</f>
        <v>077416</v>
      </c>
      <c r="E200" s="2" t="str">
        <f>("622454272453")</f>
        <v>622454272453</v>
      </c>
      <c r="G200" s="2" t="s">
        <v>238</v>
      </c>
      <c r="H200" s="5">
        <v>8631.7199999999993</v>
      </c>
      <c r="I200" s="2" t="s">
        <v>18</v>
      </c>
      <c r="J200" s="3">
        <v>43013</v>
      </c>
      <c r="K200" s="2">
        <v>1.121</v>
      </c>
      <c r="L200" s="2">
        <v>2.4710000000000001</v>
      </c>
      <c r="M200" s="2">
        <v>6</v>
      </c>
      <c r="N200" s="2" t="s">
        <v>236</v>
      </c>
    </row>
    <row r="201" spans="1:14" x14ac:dyDescent="0.3">
      <c r="A201" s="2" t="s">
        <v>14</v>
      </c>
      <c r="B201" s="2" t="s">
        <v>15</v>
      </c>
      <c r="C201" s="2" t="s">
        <v>16</v>
      </c>
      <c r="D201" s="2" t="str">
        <f>("077417")</f>
        <v>077417</v>
      </c>
      <c r="E201" s="2" t="str">
        <f>("622454774179")</f>
        <v>622454774179</v>
      </c>
      <c r="G201" s="2" t="s">
        <v>239</v>
      </c>
      <c r="H201" s="5">
        <v>8631.7199999999993</v>
      </c>
      <c r="I201" s="2" t="s">
        <v>18</v>
      </c>
      <c r="J201" s="3">
        <v>43013</v>
      </c>
      <c r="K201" s="2">
        <v>1.006</v>
      </c>
      <c r="L201" s="2">
        <v>2.218</v>
      </c>
      <c r="M201" s="2">
        <v>6</v>
      </c>
      <c r="N201" s="2" t="s">
        <v>236</v>
      </c>
    </row>
    <row r="202" spans="1:14" x14ac:dyDescent="0.3">
      <c r="A202" s="2" t="s">
        <v>14</v>
      </c>
      <c r="B202" s="2" t="s">
        <v>15</v>
      </c>
      <c r="C202" s="2" t="s">
        <v>16</v>
      </c>
      <c r="D202" s="2" t="str">
        <f>("077494")</f>
        <v>077494</v>
      </c>
      <c r="E202" s="2" t="str">
        <f>("622454774940")</f>
        <v>622454774940</v>
      </c>
      <c r="G202" s="2" t="s">
        <v>240</v>
      </c>
      <c r="H202" s="5">
        <v>8631.7199999999993</v>
      </c>
      <c r="I202" s="2" t="s">
        <v>18</v>
      </c>
      <c r="J202" s="3">
        <v>43013</v>
      </c>
      <c r="K202" s="2">
        <v>1.139</v>
      </c>
      <c r="L202" s="2">
        <v>2.5110000000000001</v>
      </c>
      <c r="M202" s="2">
        <v>6</v>
      </c>
      <c r="N202" s="2" t="s">
        <v>236</v>
      </c>
    </row>
    <row r="203" spans="1:14" x14ac:dyDescent="0.3">
      <c r="A203" s="2" t="s">
        <v>14</v>
      </c>
      <c r="B203" s="2" t="s">
        <v>15</v>
      </c>
      <c r="C203" s="2" t="s">
        <v>16</v>
      </c>
      <c r="D203" s="2" t="str">
        <f>("077347")</f>
        <v>077347</v>
      </c>
      <c r="E203" s="2" t="str">
        <f>("622454272668")</f>
        <v>622454272668</v>
      </c>
      <c r="G203" s="2" t="s">
        <v>241</v>
      </c>
      <c r="H203" s="5">
        <v>15089.51</v>
      </c>
      <c r="I203" s="2" t="s">
        <v>18</v>
      </c>
      <c r="J203" s="3">
        <v>43013</v>
      </c>
      <c r="K203" s="2">
        <v>1.0649999999999999</v>
      </c>
      <c r="L203" s="2">
        <v>2.3479999999999999</v>
      </c>
      <c r="M203" s="2">
        <v>6</v>
      </c>
      <c r="N203" s="2" t="s">
        <v>236</v>
      </c>
    </row>
    <row r="204" spans="1:14" x14ac:dyDescent="0.3">
      <c r="A204" s="2" t="s">
        <v>14</v>
      </c>
      <c r="B204" s="2" t="s">
        <v>15</v>
      </c>
      <c r="C204" s="2" t="s">
        <v>16</v>
      </c>
      <c r="D204" s="2" t="str">
        <f>("077348")</f>
        <v>077348</v>
      </c>
      <c r="E204" s="2" t="str">
        <f>("622454272675")</f>
        <v>622454272675</v>
      </c>
      <c r="G204" s="2" t="s">
        <v>242</v>
      </c>
      <c r="H204" s="5">
        <v>15920.72</v>
      </c>
      <c r="I204" s="2" t="s">
        <v>18</v>
      </c>
      <c r="J204" s="3">
        <v>43013</v>
      </c>
      <c r="K204" s="2">
        <v>1.036</v>
      </c>
      <c r="L204" s="2">
        <v>2.2839999999999998</v>
      </c>
      <c r="M204" s="2">
        <v>6</v>
      </c>
      <c r="N204" s="2" t="s">
        <v>236</v>
      </c>
    </row>
    <row r="205" spans="1:14" x14ac:dyDescent="0.3">
      <c r="A205" s="2" t="s">
        <v>14</v>
      </c>
      <c r="B205" s="2" t="s">
        <v>15</v>
      </c>
      <c r="C205" s="2" t="s">
        <v>16</v>
      </c>
      <c r="D205" s="2" t="str">
        <f>("077353")</f>
        <v>077353</v>
      </c>
      <c r="E205" s="2" t="str">
        <f>("622454272699")</f>
        <v>622454272699</v>
      </c>
      <c r="G205" s="2" t="s">
        <v>243</v>
      </c>
      <c r="H205" s="5">
        <v>15920.72</v>
      </c>
      <c r="I205" s="2" t="s">
        <v>18</v>
      </c>
      <c r="J205" s="3">
        <v>43013</v>
      </c>
      <c r="K205" s="2">
        <v>1.0649999999999999</v>
      </c>
      <c r="L205" s="2">
        <v>2.3479999999999999</v>
      </c>
      <c r="M205" s="2">
        <v>6</v>
      </c>
      <c r="N205" s="2" t="s">
        <v>236</v>
      </c>
    </row>
    <row r="206" spans="1:14" x14ac:dyDescent="0.3">
      <c r="A206" s="2" t="s">
        <v>14</v>
      </c>
      <c r="B206" s="2" t="s">
        <v>15</v>
      </c>
      <c r="C206" s="2" t="s">
        <v>16</v>
      </c>
      <c r="D206" s="2" t="str">
        <f>("077377")</f>
        <v>077377</v>
      </c>
      <c r="E206" s="2" t="str">
        <f>("622454773776")</f>
        <v>622454773776</v>
      </c>
      <c r="G206" s="2" t="s">
        <v>244</v>
      </c>
      <c r="H206" s="5">
        <v>15728.9</v>
      </c>
      <c r="I206" s="2" t="s">
        <v>18</v>
      </c>
      <c r="J206" s="3">
        <v>43013</v>
      </c>
      <c r="K206" s="2">
        <v>1.1539999999999999</v>
      </c>
      <c r="L206" s="2">
        <v>2.544</v>
      </c>
      <c r="M206" s="2">
        <v>6</v>
      </c>
      <c r="N206" s="2" t="s">
        <v>236</v>
      </c>
    </row>
    <row r="207" spans="1:14" x14ac:dyDescent="0.3">
      <c r="A207" s="2" t="s">
        <v>14</v>
      </c>
      <c r="B207" s="2" t="s">
        <v>15</v>
      </c>
      <c r="C207" s="2" t="s">
        <v>16</v>
      </c>
      <c r="D207" s="2" t="str">
        <f>("077378")</f>
        <v>077378</v>
      </c>
      <c r="E207" s="2" t="str">
        <f>("622454272729")</f>
        <v>622454272729</v>
      </c>
      <c r="G207" s="2" t="s">
        <v>245</v>
      </c>
      <c r="H207" s="5">
        <v>16560.11</v>
      </c>
      <c r="I207" s="2" t="s">
        <v>18</v>
      </c>
      <c r="J207" s="3">
        <v>43013</v>
      </c>
      <c r="K207" s="2">
        <v>1.35</v>
      </c>
      <c r="L207" s="2">
        <v>2.976</v>
      </c>
      <c r="M207" s="2">
        <v>6</v>
      </c>
      <c r="N207" s="2" t="s">
        <v>236</v>
      </c>
    </row>
    <row r="208" spans="1:14" x14ac:dyDescent="0.3">
      <c r="A208" s="2" t="s">
        <v>14</v>
      </c>
      <c r="B208" s="2" t="s">
        <v>15</v>
      </c>
      <c r="C208" s="2" t="s">
        <v>16</v>
      </c>
      <c r="D208" s="2" t="str">
        <f>("077400")</f>
        <v>077400</v>
      </c>
      <c r="E208" s="2" t="str">
        <f>("622454272873")</f>
        <v>622454272873</v>
      </c>
      <c r="G208" s="2" t="s">
        <v>246</v>
      </c>
      <c r="H208" s="5">
        <v>16560.11</v>
      </c>
      <c r="I208" s="2" t="s">
        <v>18</v>
      </c>
      <c r="J208" s="3">
        <v>43013</v>
      </c>
      <c r="K208" s="2">
        <v>1.2829999999999999</v>
      </c>
      <c r="L208" s="2">
        <v>2.8290000000000002</v>
      </c>
      <c r="M208" s="2">
        <v>6</v>
      </c>
      <c r="N208" s="2" t="s">
        <v>236</v>
      </c>
    </row>
    <row r="209" spans="1:14" x14ac:dyDescent="0.3">
      <c r="A209" s="2" t="s">
        <v>14</v>
      </c>
      <c r="B209" s="2" t="s">
        <v>15</v>
      </c>
      <c r="C209" s="2" t="s">
        <v>16</v>
      </c>
      <c r="D209" s="2" t="str">
        <f>("077495")</f>
        <v>077495</v>
      </c>
      <c r="E209" s="2" t="str">
        <f>("622454272552")</f>
        <v>622454272552</v>
      </c>
      <c r="G209" s="2" t="s">
        <v>247</v>
      </c>
      <c r="H209" s="5">
        <v>8695.65</v>
      </c>
      <c r="I209" s="2" t="s">
        <v>18</v>
      </c>
      <c r="J209" s="3">
        <v>43013</v>
      </c>
      <c r="K209" s="2">
        <v>0.90800000000000003</v>
      </c>
      <c r="L209" s="2">
        <v>2.0019999999999998</v>
      </c>
      <c r="M209" s="2">
        <v>6</v>
      </c>
      <c r="N209" s="2" t="s">
        <v>236</v>
      </c>
    </row>
    <row r="210" spans="1:14" x14ac:dyDescent="0.3">
      <c r="A210" s="2" t="s">
        <v>14</v>
      </c>
      <c r="B210" s="2" t="s">
        <v>15</v>
      </c>
      <c r="C210" s="2" t="s">
        <v>16</v>
      </c>
      <c r="D210" s="2" t="str">
        <f>("077496")</f>
        <v>077496</v>
      </c>
      <c r="E210" s="2" t="str">
        <f>("622454272576")</f>
        <v>622454272576</v>
      </c>
      <c r="G210" s="2" t="s">
        <v>248</v>
      </c>
      <c r="H210" s="5">
        <v>9526.86</v>
      </c>
      <c r="I210" s="2" t="s">
        <v>18</v>
      </c>
      <c r="J210" s="3">
        <v>43013</v>
      </c>
      <c r="K210" s="2">
        <v>1.1040000000000001</v>
      </c>
      <c r="L210" s="2">
        <v>2.4340000000000002</v>
      </c>
      <c r="M210" s="2">
        <v>6</v>
      </c>
      <c r="N210" s="2" t="s">
        <v>236</v>
      </c>
    </row>
    <row r="211" spans="1:14" x14ac:dyDescent="0.3">
      <c r="A211" s="2" t="s">
        <v>14</v>
      </c>
      <c r="B211" s="2" t="s">
        <v>15</v>
      </c>
      <c r="C211" s="2" t="s">
        <v>16</v>
      </c>
      <c r="D211" s="2" t="str">
        <f>("077500")</f>
        <v>077500</v>
      </c>
      <c r="E211" s="2" t="str">
        <f>("622454272651")</f>
        <v>622454272651</v>
      </c>
      <c r="G211" s="2" t="s">
        <v>249</v>
      </c>
      <c r="H211" s="5">
        <v>15728.9</v>
      </c>
      <c r="I211" s="2" t="s">
        <v>18</v>
      </c>
      <c r="J211" s="3">
        <v>43013</v>
      </c>
      <c r="K211" s="2">
        <v>0.96799999999999997</v>
      </c>
      <c r="L211" s="2">
        <v>2.1339999999999999</v>
      </c>
      <c r="M211" s="2">
        <v>6</v>
      </c>
      <c r="N211" s="2" t="s">
        <v>236</v>
      </c>
    </row>
    <row r="212" spans="1:14" x14ac:dyDescent="0.3">
      <c r="A212" s="2" t="s">
        <v>14</v>
      </c>
      <c r="B212" s="2" t="s">
        <v>15</v>
      </c>
      <c r="C212" s="2" t="s">
        <v>16</v>
      </c>
      <c r="D212" s="2" t="str">
        <f>("077498")</f>
        <v>077498</v>
      </c>
      <c r="E212" s="2" t="str">
        <f>("622454272590")</f>
        <v>622454272590</v>
      </c>
      <c r="G212" s="2" t="s">
        <v>250</v>
      </c>
      <c r="H212" s="5">
        <v>16560.11</v>
      </c>
      <c r="I212" s="2" t="s">
        <v>18</v>
      </c>
      <c r="J212" s="3">
        <v>43013</v>
      </c>
      <c r="K212" s="2">
        <v>1.1639999999999999</v>
      </c>
      <c r="L212" s="2">
        <v>2.5659999999999998</v>
      </c>
      <c r="M212" s="2">
        <v>6</v>
      </c>
      <c r="N212" s="2" t="s">
        <v>236</v>
      </c>
    </row>
    <row r="213" spans="1:14" x14ac:dyDescent="0.3">
      <c r="A213" s="2" t="s">
        <v>14</v>
      </c>
      <c r="B213" s="2" t="s">
        <v>15</v>
      </c>
      <c r="C213" s="2" t="s">
        <v>16</v>
      </c>
      <c r="D213" s="2" t="str">
        <f>("077407")</f>
        <v>077407</v>
      </c>
      <c r="E213" s="2" t="str">
        <f>("622454272910")</f>
        <v>622454272910</v>
      </c>
      <c r="G213" s="2" t="s">
        <v>251</v>
      </c>
      <c r="H213" s="5">
        <v>16751.91</v>
      </c>
      <c r="I213" s="2" t="s">
        <v>18</v>
      </c>
      <c r="J213" s="3">
        <v>43013</v>
      </c>
      <c r="K213" s="2">
        <v>1.054</v>
      </c>
      <c r="L213" s="2">
        <v>2.3239999999999998</v>
      </c>
      <c r="M213" s="2">
        <v>6</v>
      </c>
      <c r="N213" s="2" t="s">
        <v>236</v>
      </c>
    </row>
    <row r="214" spans="1:14" x14ac:dyDescent="0.3">
      <c r="A214" s="2" t="s">
        <v>14</v>
      </c>
      <c r="B214" s="2" t="s">
        <v>15</v>
      </c>
      <c r="C214" s="2" t="s">
        <v>16</v>
      </c>
      <c r="D214" s="2" t="str">
        <f>("077233")</f>
        <v>077233</v>
      </c>
      <c r="E214" s="2" t="str">
        <f>("622454772335")</f>
        <v>622454772335</v>
      </c>
      <c r="G214" s="2" t="s">
        <v>221</v>
      </c>
      <c r="H214" s="5">
        <v>2173.91</v>
      </c>
      <c r="I214" s="2" t="s">
        <v>18</v>
      </c>
      <c r="J214" s="3">
        <v>43013</v>
      </c>
      <c r="K214" s="2">
        <v>0.19400000000000001</v>
      </c>
      <c r="L214" s="2">
        <v>0.42799999999999999</v>
      </c>
      <c r="M214" s="2">
        <v>10</v>
      </c>
      <c r="N214" s="2" t="s">
        <v>222</v>
      </c>
    </row>
    <row r="215" spans="1:14" x14ac:dyDescent="0.3">
      <c r="A215" s="2" t="s">
        <v>14</v>
      </c>
      <c r="B215" s="2" t="s">
        <v>15</v>
      </c>
      <c r="C215" s="2" t="s">
        <v>16</v>
      </c>
      <c r="D215" s="2" t="str">
        <f>("077247")</f>
        <v>077247</v>
      </c>
      <c r="E215" s="2" t="str">
        <f>("622454772472")</f>
        <v>622454772472</v>
      </c>
      <c r="G215" s="2" t="s">
        <v>252</v>
      </c>
      <c r="H215" s="5">
        <v>948.85</v>
      </c>
      <c r="I215" s="2" t="s">
        <v>18</v>
      </c>
      <c r="J215" s="3">
        <v>43013</v>
      </c>
      <c r="K215" s="2">
        <v>0.41499999999999998</v>
      </c>
      <c r="L215" s="2">
        <v>0.91500000000000004</v>
      </c>
      <c r="M215" s="2">
        <v>32</v>
      </c>
      <c r="N215" s="2" t="s">
        <v>222</v>
      </c>
    </row>
    <row r="216" spans="1:14" x14ac:dyDescent="0.3">
      <c r="A216" s="2" t="s">
        <v>14</v>
      </c>
      <c r="B216" s="2" t="s">
        <v>15</v>
      </c>
      <c r="C216" s="2" t="s">
        <v>16</v>
      </c>
      <c r="D216" s="2" t="str">
        <f>("077909")</f>
        <v>077909</v>
      </c>
      <c r="E216" s="2" t="str">
        <f>("622454779099")</f>
        <v>622454779099</v>
      </c>
      <c r="G216" s="2" t="s">
        <v>253</v>
      </c>
      <c r="H216" s="5">
        <v>2173.91</v>
      </c>
      <c r="I216" s="2" t="s">
        <v>18</v>
      </c>
      <c r="J216" s="3">
        <v>43013</v>
      </c>
      <c r="K216" s="2">
        <v>0.42399999999999999</v>
      </c>
      <c r="L216" s="2">
        <v>0.93500000000000005</v>
      </c>
      <c r="M216" s="2">
        <v>32</v>
      </c>
      <c r="N216" s="2" t="s">
        <v>222</v>
      </c>
    </row>
    <row r="217" spans="1:14" x14ac:dyDescent="0.3">
      <c r="A217" s="2" t="s">
        <v>14</v>
      </c>
      <c r="B217" s="2" t="s">
        <v>15</v>
      </c>
      <c r="C217" s="2" t="s">
        <v>16</v>
      </c>
      <c r="D217" s="2" t="str">
        <f>("077239")</f>
        <v>077239</v>
      </c>
      <c r="E217" s="2" t="str">
        <f>("622454772397")</f>
        <v>622454772397</v>
      </c>
      <c r="G217" s="2" t="s">
        <v>254</v>
      </c>
      <c r="H217" s="5">
        <v>3005.12</v>
      </c>
      <c r="I217" s="2" t="s">
        <v>18</v>
      </c>
      <c r="J217" s="3">
        <v>43013</v>
      </c>
      <c r="K217" s="2">
        <v>0.62</v>
      </c>
      <c r="L217" s="2">
        <v>1.367</v>
      </c>
      <c r="M217" s="2">
        <v>32</v>
      </c>
      <c r="N217" s="2" t="s">
        <v>222</v>
      </c>
    </row>
    <row r="218" spans="1:14" x14ac:dyDescent="0.3">
      <c r="A218" s="2" t="s">
        <v>14</v>
      </c>
      <c r="B218" s="2" t="s">
        <v>15</v>
      </c>
      <c r="C218" s="2" t="s">
        <v>16</v>
      </c>
      <c r="D218" s="2" t="str">
        <f>("077910")</f>
        <v>077910</v>
      </c>
      <c r="E218" s="2" t="str">
        <f>("622454779105")</f>
        <v>622454779105</v>
      </c>
      <c r="G218" s="2" t="s">
        <v>255</v>
      </c>
      <c r="H218" s="5">
        <v>3005.12</v>
      </c>
      <c r="I218" s="2" t="s">
        <v>18</v>
      </c>
      <c r="J218" s="3">
        <v>43013</v>
      </c>
      <c r="K218" s="2">
        <v>0.55500000000000005</v>
      </c>
      <c r="L218" s="2">
        <v>1.224</v>
      </c>
      <c r="M218" s="2">
        <v>32</v>
      </c>
      <c r="N218" s="2" t="s">
        <v>222</v>
      </c>
    </row>
    <row r="219" spans="1:14" x14ac:dyDescent="0.3">
      <c r="A219" s="2" t="s">
        <v>14</v>
      </c>
      <c r="B219" s="2" t="s">
        <v>15</v>
      </c>
      <c r="C219" s="2" t="s">
        <v>16</v>
      </c>
      <c r="D219" s="2" t="str">
        <f>("077241")</f>
        <v>077241</v>
      </c>
      <c r="E219" s="2" t="str">
        <f>("622454772410")</f>
        <v>622454772410</v>
      </c>
      <c r="G219" s="2" t="s">
        <v>256</v>
      </c>
      <c r="H219" s="5">
        <v>3005.12</v>
      </c>
      <c r="I219" s="2" t="s">
        <v>18</v>
      </c>
      <c r="J219" s="3">
        <v>43013</v>
      </c>
      <c r="K219" s="2">
        <v>0.42399999999999999</v>
      </c>
      <c r="L219" s="2">
        <v>0.93500000000000005</v>
      </c>
      <c r="M219" s="2">
        <v>6</v>
      </c>
      <c r="N219" s="2" t="s">
        <v>222</v>
      </c>
    </row>
    <row r="220" spans="1:14" x14ac:dyDescent="0.3">
      <c r="A220" s="2" t="s">
        <v>14</v>
      </c>
      <c r="B220" s="2" t="s">
        <v>15</v>
      </c>
      <c r="C220" s="2" t="s">
        <v>16</v>
      </c>
      <c r="D220" s="2" t="str">
        <f>("077242")</f>
        <v>077242</v>
      </c>
      <c r="E220" s="2" t="str">
        <f>("622454772427")</f>
        <v>622454772427</v>
      </c>
      <c r="G220" s="2" t="s">
        <v>257</v>
      </c>
      <c r="H220" s="5">
        <v>3005.12</v>
      </c>
      <c r="I220" s="2" t="s">
        <v>18</v>
      </c>
      <c r="J220" s="3">
        <v>43013</v>
      </c>
      <c r="K220" s="2">
        <v>0.55500000000000005</v>
      </c>
      <c r="L220" s="2">
        <v>1.224</v>
      </c>
      <c r="M220" s="2">
        <v>6</v>
      </c>
      <c r="N220" s="2" t="s">
        <v>222</v>
      </c>
    </row>
    <row r="221" spans="1:14" x14ac:dyDescent="0.3">
      <c r="A221" s="2" t="s">
        <v>14</v>
      </c>
      <c r="B221" s="2" t="s">
        <v>15</v>
      </c>
      <c r="C221" s="2" t="s">
        <v>16</v>
      </c>
      <c r="D221" s="2" t="str">
        <f>("077911")</f>
        <v>077911</v>
      </c>
      <c r="E221" s="2" t="str">
        <f>("622454779112")</f>
        <v>622454779112</v>
      </c>
      <c r="G221" s="2" t="s">
        <v>258</v>
      </c>
      <c r="H221" s="5">
        <v>1072.28</v>
      </c>
      <c r="I221" s="2" t="s">
        <v>18</v>
      </c>
      <c r="J221" s="3">
        <v>43013</v>
      </c>
      <c r="K221" s="2">
        <v>0.106</v>
      </c>
      <c r="L221" s="2">
        <v>0.23400000000000001</v>
      </c>
      <c r="M221" s="2">
        <v>32</v>
      </c>
      <c r="N221" s="2" t="s">
        <v>222</v>
      </c>
    </row>
    <row r="222" spans="1:14" x14ac:dyDescent="0.3">
      <c r="A222" s="2" t="s">
        <v>14</v>
      </c>
      <c r="B222" s="2" t="s">
        <v>15</v>
      </c>
      <c r="C222" s="2" t="s">
        <v>16</v>
      </c>
      <c r="D222" s="2" t="str">
        <f>("078116")</f>
        <v>078116</v>
      </c>
      <c r="E222" s="2" t="str">
        <f>("622454781160")</f>
        <v>622454781160</v>
      </c>
      <c r="G222" s="2" t="s">
        <v>259</v>
      </c>
      <c r="H222" s="5">
        <v>1083.0899999999999</v>
      </c>
      <c r="I222" s="2" t="s">
        <v>18</v>
      </c>
      <c r="J222" s="3">
        <v>43013</v>
      </c>
      <c r="K222" s="2">
        <v>7.3999999999999996E-2</v>
      </c>
      <c r="L222" s="2">
        <v>0.16300000000000001</v>
      </c>
      <c r="M222" s="2">
        <v>30</v>
      </c>
      <c r="N222" s="2" t="s">
        <v>260</v>
      </c>
    </row>
    <row r="223" spans="1:14" x14ac:dyDescent="0.3">
      <c r="A223" s="2" t="s">
        <v>14</v>
      </c>
      <c r="B223" s="2" t="s">
        <v>15</v>
      </c>
      <c r="C223" s="2" t="s">
        <v>16</v>
      </c>
      <c r="D223" s="2" t="str">
        <f>("078117")</f>
        <v>078117</v>
      </c>
      <c r="E223" s="2" t="str">
        <f>("622454781177")</f>
        <v>622454781177</v>
      </c>
      <c r="G223" s="2" t="s">
        <v>261</v>
      </c>
      <c r="H223" s="5">
        <v>1577.25</v>
      </c>
      <c r="I223" s="2" t="s">
        <v>18</v>
      </c>
      <c r="J223" s="3">
        <v>43013</v>
      </c>
      <c r="K223" s="2">
        <v>0.126</v>
      </c>
      <c r="L223" s="2">
        <v>0.27800000000000002</v>
      </c>
      <c r="M223" s="2">
        <v>20</v>
      </c>
      <c r="N223" s="2" t="s">
        <v>260</v>
      </c>
    </row>
    <row r="224" spans="1:14" x14ac:dyDescent="0.3">
      <c r="A224" s="2" t="s">
        <v>14</v>
      </c>
      <c r="B224" s="2" t="s">
        <v>15</v>
      </c>
      <c r="C224" s="2" t="s">
        <v>16</v>
      </c>
      <c r="D224" s="2" t="str">
        <f>("078118")</f>
        <v>078118</v>
      </c>
      <c r="E224" s="2" t="str">
        <f>("622454781184")</f>
        <v>622454781184</v>
      </c>
      <c r="G224" s="2" t="s">
        <v>262</v>
      </c>
      <c r="H224" s="5">
        <v>1713.93</v>
      </c>
      <c r="I224" s="2" t="s">
        <v>18</v>
      </c>
      <c r="J224" s="3">
        <v>43013</v>
      </c>
      <c r="K224" s="2">
        <v>0.17</v>
      </c>
      <c r="L224" s="2">
        <v>0.375</v>
      </c>
      <c r="M224" s="2">
        <v>15</v>
      </c>
      <c r="N224" s="2" t="s">
        <v>260</v>
      </c>
    </row>
    <row r="225" spans="1:14" x14ac:dyDescent="0.3">
      <c r="A225" s="2" t="s">
        <v>14</v>
      </c>
      <c r="B225" s="2" t="s">
        <v>15</v>
      </c>
      <c r="C225" s="2" t="s">
        <v>16</v>
      </c>
      <c r="D225" s="2" t="str">
        <f>("078119")</f>
        <v>078119</v>
      </c>
      <c r="E225" s="2" t="str">
        <f>("622454781191")</f>
        <v>622454781191</v>
      </c>
      <c r="G225" s="2" t="s">
        <v>263</v>
      </c>
      <c r="H225" s="5">
        <v>2607.8200000000002</v>
      </c>
      <c r="I225" s="2" t="s">
        <v>18</v>
      </c>
      <c r="J225" s="3">
        <v>43013</v>
      </c>
      <c r="K225" s="2">
        <v>0.33800000000000002</v>
      </c>
      <c r="L225" s="2">
        <v>0.745</v>
      </c>
      <c r="M225" s="2">
        <v>15</v>
      </c>
      <c r="N225" s="2" t="s">
        <v>260</v>
      </c>
    </row>
    <row r="226" spans="1:14" x14ac:dyDescent="0.3">
      <c r="A226" s="2" t="s">
        <v>14</v>
      </c>
      <c r="B226" s="2" t="s">
        <v>15</v>
      </c>
      <c r="C226" s="2" t="s">
        <v>16</v>
      </c>
      <c r="D226" s="2" t="str">
        <f>("078120")</f>
        <v>078120</v>
      </c>
      <c r="E226" s="2" t="str">
        <f>("622454781207")</f>
        <v>622454781207</v>
      </c>
      <c r="G226" s="2" t="s">
        <v>264</v>
      </c>
      <c r="H226" s="5">
        <v>2797.04</v>
      </c>
      <c r="I226" s="2" t="s">
        <v>18</v>
      </c>
      <c r="J226" s="3">
        <v>43013</v>
      </c>
      <c r="K226" s="2">
        <v>0.4</v>
      </c>
      <c r="L226" s="2">
        <v>0.88200000000000001</v>
      </c>
      <c r="M226" s="2">
        <v>10</v>
      </c>
      <c r="N226" s="2" t="s">
        <v>260</v>
      </c>
    </row>
    <row r="227" spans="1:14" x14ac:dyDescent="0.3">
      <c r="A227" s="2" t="s">
        <v>14</v>
      </c>
      <c r="B227" s="2" t="s">
        <v>15</v>
      </c>
      <c r="C227" s="2" t="s">
        <v>16</v>
      </c>
      <c r="D227" s="2" t="str">
        <f>("078121")</f>
        <v>078121</v>
      </c>
      <c r="E227" s="2" t="str">
        <f>("622454781214")</f>
        <v>622454781214</v>
      </c>
      <c r="G227" s="2" t="s">
        <v>265</v>
      </c>
      <c r="H227" s="5">
        <v>4949.1499999999996</v>
      </c>
      <c r="I227" s="2" t="s">
        <v>18</v>
      </c>
      <c r="J227" s="3">
        <v>43013</v>
      </c>
      <c r="K227" s="2">
        <v>0.79</v>
      </c>
      <c r="L227" s="2">
        <v>1.742</v>
      </c>
      <c r="M227" s="2">
        <v>15</v>
      </c>
      <c r="N227" s="2" t="s">
        <v>260</v>
      </c>
    </row>
    <row r="228" spans="1:14" x14ac:dyDescent="0.3">
      <c r="A228" s="2" t="s">
        <v>14</v>
      </c>
      <c r="B228" s="2" t="s">
        <v>15</v>
      </c>
      <c r="C228" s="2" t="s">
        <v>16</v>
      </c>
      <c r="D228" s="2" t="str">
        <f>("078122")</f>
        <v>078122</v>
      </c>
      <c r="E228" s="2" t="str">
        <f>("622454781221")</f>
        <v>622454781221</v>
      </c>
      <c r="G228" s="2" t="s">
        <v>266</v>
      </c>
      <c r="H228" s="5">
        <v>20656.7</v>
      </c>
      <c r="I228" s="2" t="s">
        <v>18</v>
      </c>
      <c r="J228" s="3">
        <v>43013</v>
      </c>
      <c r="K228" s="2">
        <v>1.7370000000000001</v>
      </c>
      <c r="L228" s="2">
        <v>3.8290000000000002</v>
      </c>
      <c r="M228" s="2">
        <v>4</v>
      </c>
      <c r="N228" s="2" t="s">
        <v>260</v>
      </c>
    </row>
    <row r="229" spans="1:14" x14ac:dyDescent="0.3">
      <c r="A229" s="2" t="s">
        <v>14</v>
      </c>
      <c r="B229" s="2" t="s">
        <v>15</v>
      </c>
      <c r="C229" s="2" t="s">
        <v>16</v>
      </c>
      <c r="D229" s="2" t="str">
        <f>("078123")</f>
        <v>078123</v>
      </c>
      <c r="E229" s="2" t="str">
        <f>("622454781238")</f>
        <v>622454781238</v>
      </c>
      <c r="G229" s="2" t="s">
        <v>267</v>
      </c>
      <c r="H229" s="5">
        <v>23011.360000000001</v>
      </c>
      <c r="I229" s="2" t="s">
        <v>18</v>
      </c>
      <c r="J229" s="3">
        <v>43013</v>
      </c>
      <c r="K229" s="2">
        <v>1.4530000000000001</v>
      </c>
      <c r="L229" s="2">
        <v>3.2029999999999998</v>
      </c>
      <c r="M229" s="2">
        <v>4</v>
      </c>
      <c r="N229" s="2" t="s">
        <v>260</v>
      </c>
    </row>
    <row r="230" spans="1:14" x14ac:dyDescent="0.3">
      <c r="A230" s="2" t="s">
        <v>14</v>
      </c>
      <c r="B230" s="2" t="s">
        <v>15</v>
      </c>
      <c r="C230" s="2" t="s">
        <v>16</v>
      </c>
      <c r="D230" s="2" t="str">
        <f>("078124")</f>
        <v>078124</v>
      </c>
      <c r="E230" s="2" t="str">
        <f>("622454781245")</f>
        <v>622454781245</v>
      </c>
      <c r="G230" s="2" t="s">
        <v>268</v>
      </c>
      <c r="H230" s="5">
        <v>23605.24</v>
      </c>
      <c r="I230" s="2" t="s">
        <v>18</v>
      </c>
      <c r="J230" s="3">
        <v>43013</v>
      </c>
      <c r="K230" s="2">
        <v>2.5409999999999999</v>
      </c>
      <c r="L230" s="2">
        <v>5.6020000000000003</v>
      </c>
      <c r="M230" s="2">
        <v>4</v>
      </c>
      <c r="N230" s="2" t="s">
        <v>260</v>
      </c>
    </row>
    <row r="231" spans="1:14" x14ac:dyDescent="0.3">
      <c r="A231" s="2" t="s">
        <v>14</v>
      </c>
      <c r="B231" s="2" t="s">
        <v>15</v>
      </c>
      <c r="C231" s="2" t="s">
        <v>16</v>
      </c>
      <c r="D231" s="2" t="str">
        <f>("078125")</f>
        <v>078125</v>
      </c>
      <c r="E231" s="2" t="str">
        <f>("622454781252")</f>
        <v>622454781252</v>
      </c>
      <c r="G231" s="2" t="s">
        <v>269</v>
      </c>
      <c r="H231" s="5">
        <v>24782.57</v>
      </c>
      <c r="I231" s="2" t="s">
        <v>18</v>
      </c>
      <c r="J231" s="3">
        <v>43013</v>
      </c>
      <c r="K231" s="2">
        <v>2.2149999999999999</v>
      </c>
      <c r="L231" s="2">
        <v>4.883</v>
      </c>
      <c r="M231" s="2">
        <v>4</v>
      </c>
      <c r="N231" s="2" t="s">
        <v>260</v>
      </c>
    </row>
    <row r="232" spans="1:14" x14ac:dyDescent="0.3">
      <c r="A232" s="2" t="s">
        <v>14</v>
      </c>
      <c r="B232" s="2" t="s">
        <v>15</v>
      </c>
      <c r="C232" s="2" t="s">
        <v>16</v>
      </c>
      <c r="D232" s="2" t="str">
        <f>("078128")</f>
        <v>078128</v>
      </c>
      <c r="E232" s="2" t="str">
        <f>("622454781283")</f>
        <v>622454781283</v>
      </c>
      <c r="G232" s="2" t="s">
        <v>270</v>
      </c>
      <c r="H232" s="5">
        <v>1090.08</v>
      </c>
      <c r="I232" s="2" t="s">
        <v>18</v>
      </c>
      <c r="J232" s="3">
        <v>43013</v>
      </c>
      <c r="K232" s="2">
        <v>8.3000000000000004E-2</v>
      </c>
      <c r="L232" s="2">
        <v>0.183</v>
      </c>
      <c r="M232" s="2">
        <v>30</v>
      </c>
      <c r="N232" s="2" t="s">
        <v>260</v>
      </c>
    </row>
    <row r="233" spans="1:14" x14ac:dyDescent="0.3">
      <c r="A233" s="2" t="s">
        <v>14</v>
      </c>
      <c r="B233" s="2" t="s">
        <v>15</v>
      </c>
      <c r="C233" s="2" t="s">
        <v>16</v>
      </c>
      <c r="D233" s="2" t="str">
        <f>("078129")</f>
        <v>078129</v>
      </c>
      <c r="E233" s="2" t="str">
        <f>("622454781290")</f>
        <v>622454781290</v>
      </c>
      <c r="G233" s="2" t="s">
        <v>271</v>
      </c>
      <c r="H233" s="5">
        <v>1584.28</v>
      </c>
      <c r="I233" s="2" t="s">
        <v>18</v>
      </c>
      <c r="J233" s="3">
        <v>43013</v>
      </c>
      <c r="K233" s="2">
        <v>0.12</v>
      </c>
      <c r="L233" s="2">
        <v>0.26500000000000001</v>
      </c>
      <c r="M233" s="2">
        <v>20</v>
      </c>
      <c r="N233" s="2" t="s">
        <v>260</v>
      </c>
    </row>
    <row r="234" spans="1:14" x14ac:dyDescent="0.3">
      <c r="A234" s="2" t="s">
        <v>14</v>
      </c>
      <c r="B234" s="2" t="s">
        <v>15</v>
      </c>
      <c r="C234" s="2" t="s">
        <v>16</v>
      </c>
      <c r="D234" s="2" t="str">
        <f>("078130")</f>
        <v>078130</v>
      </c>
      <c r="E234" s="2" t="str">
        <f>("622454781306")</f>
        <v>622454781306</v>
      </c>
      <c r="G234" s="2" t="s">
        <v>272</v>
      </c>
      <c r="H234" s="5">
        <v>1875.17</v>
      </c>
      <c r="I234" s="2" t="s">
        <v>18</v>
      </c>
      <c r="J234" s="3">
        <v>43013</v>
      </c>
      <c r="K234" s="2">
        <v>0.16400000000000001</v>
      </c>
      <c r="L234" s="2">
        <v>0.36199999999999999</v>
      </c>
      <c r="M234" s="2">
        <v>15</v>
      </c>
      <c r="N234" s="2" t="s">
        <v>260</v>
      </c>
    </row>
    <row r="235" spans="1:14" x14ac:dyDescent="0.3">
      <c r="A235" s="2" t="s">
        <v>14</v>
      </c>
      <c r="B235" s="2" t="s">
        <v>15</v>
      </c>
      <c r="C235" s="2" t="s">
        <v>16</v>
      </c>
      <c r="D235" s="2" t="str">
        <f>("078131")</f>
        <v>078131</v>
      </c>
      <c r="E235" s="2" t="str">
        <f>("622454781313")</f>
        <v>622454781313</v>
      </c>
      <c r="G235" s="2" t="s">
        <v>273</v>
      </c>
      <c r="H235" s="5">
        <v>2341.37</v>
      </c>
      <c r="I235" s="2" t="s">
        <v>18</v>
      </c>
      <c r="J235" s="3">
        <v>43013</v>
      </c>
      <c r="K235" s="2">
        <v>0.3</v>
      </c>
      <c r="L235" s="2">
        <v>0.66100000000000003</v>
      </c>
      <c r="M235" s="2">
        <v>20</v>
      </c>
      <c r="N235" s="2" t="s">
        <v>260</v>
      </c>
    </row>
    <row r="236" spans="1:14" x14ac:dyDescent="0.3">
      <c r="A236" s="2" t="s">
        <v>14</v>
      </c>
      <c r="B236" s="2" t="s">
        <v>15</v>
      </c>
      <c r="C236" s="2" t="s">
        <v>16</v>
      </c>
      <c r="D236" s="2" t="str">
        <f>("078132")</f>
        <v>078132</v>
      </c>
      <c r="E236" s="2" t="str">
        <f>("622454781320")</f>
        <v>622454781320</v>
      </c>
      <c r="G236" s="2" t="s">
        <v>274</v>
      </c>
      <c r="H236" s="5">
        <v>2797.04</v>
      </c>
      <c r="I236" s="2" t="s">
        <v>18</v>
      </c>
      <c r="J236" s="3">
        <v>43013</v>
      </c>
      <c r="K236" s="2">
        <v>0.38200000000000001</v>
      </c>
      <c r="L236" s="2">
        <v>0.84199999999999997</v>
      </c>
      <c r="M236" s="2">
        <v>10</v>
      </c>
      <c r="N236" s="2" t="s">
        <v>260</v>
      </c>
    </row>
    <row r="237" spans="1:14" x14ac:dyDescent="0.3">
      <c r="A237" s="2" t="s">
        <v>14</v>
      </c>
      <c r="B237" s="2" t="s">
        <v>15</v>
      </c>
      <c r="C237" s="2" t="s">
        <v>16</v>
      </c>
      <c r="D237" s="2" t="str">
        <f>("078133")</f>
        <v>078133</v>
      </c>
      <c r="E237" s="2" t="str">
        <f>("622454781337")</f>
        <v>622454781337</v>
      </c>
      <c r="G237" s="2" t="s">
        <v>275</v>
      </c>
      <c r="H237" s="5">
        <v>4949.1499999999996</v>
      </c>
      <c r="I237" s="2" t="s">
        <v>18</v>
      </c>
      <c r="J237" s="3">
        <v>43013</v>
      </c>
      <c r="K237" s="2">
        <v>0.79700000000000004</v>
      </c>
      <c r="L237" s="2">
        <v>1.7569999999999999</v>
      </c>
      <c r="M237" s="2">
        <v>15</v>
      </c>
      <c r="N237" s="2" t="s">
        <v>260</v>
      </c>
    </row>
    <row r="238" spans="1:14" x14ac:dyDescent="0.3">
      <c r="A238" s="2" t="s">
        <v>14</v>
      </c>
      <c r="B238" s="2" t="s">
        <v>15</v>
      </c>
      <c r="C238" s="2" t="s">
        <v>16</v>
      </c>
      <c r="D238" s="2" t="str">
        <f>("078134")</f>
        <v>078134</v>
      </c>
      <c r="E238" s="2" t="str">
        <f>("622454781344")</f>
        <v>622454781344</v>
      </c>
      <c r="G238" s="2" t="s">
        <v>276</v>
      </c>
      <c r="H238" s="5">
        <v>17483.830000000002</v>
      </c>
      <c r="I238" s="2" t="s">
        <v>18</v>
      </c>
      <c r="J238" s="3">
        <v>43013</v>
      </c>
      <c r="K238" s="2">
        <v>1.403</v>
      </c>
      <c r="L238" s="2">
        <v>3.093</v>
      </c>
      <c r="M238" s="2">
        <v>4</v>
      </c>
      <c r="N238" s="2" t="s">
        <v>260</v>
      </c>
    </row>
    <row r="239" spans="1:14" x14ac:dyDescent="0.3">
      <c r="A239" s="2" t="s">
        <v>14</v>
      </c>
      <c r="B239" s="2" t="s">
        <v>15</v>
      </c>
      <c r="C239" s="2" t="s">
        <v>16</v>
      </c>
      <c r="D239" s="2" t="str">
        <f>("078135")</f>
        <v>078135</v>
      </c>
      <c r="E239" s="2" t="str">
        <f>("622454781351")</f>
        <v>622454781351</v>
      </c>
      <c r="G239" s="2" t="s">
        <v>277</v>
      </c>
      <c r="H239" s="5">
        <v>18005.169999999998</v>
      </c>
      <c r="I239" s="2" t="s">
        <v>18</v>
      </c>
      <c r="J239" s="3">
        <v>43013</v>
      </c>
      <c r="K239" s="2">
        <v>1.4159999999999999</v>
      </c>
      <c r="L239" s="2">
        <v>3.1219999999999999</v>
      </c>
      <c r="M239" s="2">
        <v>4</v>
      </c>
      <c r="N239" s="2" t="s">
        <v>260</v>
      </c>
    </row>
    <row r="240" spans="1:14" x14ac:dyDescent="0.3">
      <c r="A240" s="2" t="s">
        <v>14</v>
      </c>
      <c r="B240" s="2" t="s">
        <v>15</v>
      </c>
      <c r="C240" s="2" t="s">
        <v>16</v>
      </c>
      <c r="D240" s="2" t="str">
        <f>("078136")</f>
        <v>078136</v>
      </c>
      <c r="E240" s="2" t="str">
        <f>("622454781368")</f>
        <v>622454781368</v>
      </c>
      <c r="G240" s="2" t="s">
        <v>278</v>
      </c>
      <c r="H240" s="5">
        <v>20508.27</v>
      </c>
      <c r="I240" s="2" t="s">
        <v>18</v>
      </c>
      <c r="J240" s="3">
        <v>43013</v>
      </c>
      <c r="K240" s="2">
        <v>2.2959999999999998</v>
      </c>
      <c r="L240" s="2">
        <v>5.0620000000000003</v>
      </c>
      <c r="M240" s="2">
        <v>4</v>
      </c>
      <c r="N240" s="2" t="s">
        <v>260</v>
      </c>
    </row>
    <row r="241" spans="1:14" x14ac:dyDescent="0.3">
      <c r="A241" s="2" t="s">
        <v>14</v>
      </c>
      <c r="B241" s="2" t="s">
        <v>15</v>
      </c>
      <c r="C241" s="2" t="s">
        <v>16</v>
      </c>
      <c r="D241" s="2" t="str">
        <f>("078137")</f>
        <v>078137</v>
      </c>
      <c r="E241" s="2" t="str">
        <f>("622454781375")</f>
        <v>622454781375</v>
      </c>
      <c r="G241" s="2" t="s">
        <v>279</v>
      </c>
      <c r="H241" s="5">
        <v>21243.67</v>
      </c>
      <c r="I241" s="2" t="s">
        <v>18</v>
      </c>
      <c r="J241" s="3">
        <v>43013</v>
      </c>
      <c r="K241" s="2">
        <v>2.1659999999999999</v>
      </c>
      <c r="L241" s="2">
        <v>4.7750000000000004</v>
      </c>
      <c r="M241" s="2">
        <v>4</v>
      </c>
      <c r="N241" s="2" t="s">
        <v>260</v>
      </c>
    </row>
    <row r="242" spans="1:14" x14ac:dyDescent="0.3">
      <c r="A242" s="2" t="s">
        <v>14</v>
      </c>
      <c r="B242" s="2" t="s">
        <v>15</v>
      </c>
      <c r="C242" s="2" t="s">
        <v>16</v>
      </c>
      <c r="D242" s="2" t="str">
        <f>("078140")</f>
        <v>078140</v>
      </c>
      <c r="E242" s="2" t="str">
        <f>("622454781405")</f>
        <v>622454781405</v>
      </c>
      <c r="G242" s="2" t="s">
        <v>280</v>
      </c>
      <c r="H242" s="5">
        <v>1042.8499999999999</v>
      </c>
      <c r="I242" s="2" t="s">
        <v>18</v>
      </c>
      <c r="J242" s="3">
        <v>43013</v>
      </c>
      <c r="K242" s="2">
        <v>7.4999999999999997E-2</v>
      </c>
      <c r="L242" s="2">
        <v>0.16500000000000001</v>
      </c>
      <c r="M242" s="2">
        <v>25</v>
      </c>
      <c r="N242" s="2" t="s">
        <v>281</v>
      </c>
    </row>
    <row r="243" spans="1:14" x14ac:dyDescent="0.3">
      <c r="A243" s="2" t="s">
        <v>14</v>
      </c>
      <c r="B243" s="2" t="s">
        <v>15</v>
      </c>
      <c r="C243" s="2" t="s">
        <v>16</v>
      </c>
      <c r="D243" s="2" t="str">
        <f>("078141")</f>
        <v>078141</v>
      </c>
      <c r="E243" s="2" t="str">
        <f>("622454781412")</f>
        <v>622454781412</v>
      </c>
      <c r="G243" s="2" t="s">
        <v>282</v>
      </c>
      <c r="H243" s="5">
        <v>1338.3</v>
      </c>
      <c r="I243" s="2" t="s">
        <v>18</v>
      </c>
      <c r="J243" s="3">
        <v>43013</v>
      </c>
      <c r="K243" s="2">
        <v>9.6000000000000002E-2</v>
      </c>
      <c r="L243" s="2">
        <v>0.21199999999999999</v>
      </c>
      <c r="M243" s="2">
        <v>15</v>
      </c>
      <c r="N243" s="2" t="s">
        <v>281</v>
      </c>
    </row>
    <row r="244" spans="1:14" x14ac:dyDescent="0.3">
      <c r="A244" s="2" t="s">
        <v>14</v>
      </c>
      <c r="B244" s="2" t="s">
        <v>15</v>
      </c>
      <c r="C244" s="2" t="s">
        <v>16</v>
      </c>
      <c r="D244" s="2" t="str">
        <f>("078142")</f>
        <v>078142</v>
      </c>
      <c r="E244" s="2" t="str">
        <f>("622454781429")</f>
        <v>622454781429</v>
      </c>
      <c r="G244" s="2" t="s">
        <v>283</v>
      </c>
      <c r="H244" s="5">
        <v>1473.26</v>
      </c>
      <c r="I244" s="2" t="s">
        <v>18</v>
      </c>
      <c r="J244" s="3">
        <v>43013</v>
      </c>
      <c r="K244" s="2">
        <v>0.151</v>
      </c>
      <c r="L244" s="2">
        <v>0.33300000000000002</v>
      </c>
      <c r="M244" s="2">
        <v>10</v>
      </c>
      <c r="N244" s="2" t="s">
        <v>281</v>
      </c>
    </row>
    <row r="245" spans="1:14" x14ac:dyDescent="0.3">
      <c r="A245" s="2" t="s">
        <v>14</v>
      </c>
      <c r="B245" s="2" t="s">
        <v>15</v>
      </c>
      <c r="C245" s="2" t="s">
        <v>16</v>
      </c>
      <c r="D245" s="2" t="str">
        <f>("078143")</f>
        <v>078143</v>
      </c>
      <c r="E245" s="2" t="str">
        <f>("622454781436")</f>
        <v>622454781436</v>
      </c>
      <c r="G245" s="2" t="s">
        <v>284</v>
      </c>
      <c r="H245" s="5">
        <v>2239.48</v>
      </c>
      <c r="I245" s="2" t="s">
        <v>18</v>
      </c>
      <c r="J245" s="3">
        <v>43013</v>
      </c>
      <c r="K245" s="2">
        <v>0.29399999999999998</v>
      </c>
      <c r="L245" s="2">
        <v>0.64800000000000002</v>
      </c>
      <c r="M245" s="2">
        <v>10</v>
      </c>
      <c r="N245" s="2" t="s">
        <v>281</v>
      </c>
    </row>
    <row r="246" spans="1:14" x14ac:dyDescent="0.3">
      <c r="A246" s="2" t="s">
        <v>14</v>
      </c>
      <c r="B246" s="2" t="s">
        <v>15</v>
      </c>
      <c r="C246" s="2" t="s">
        <v>16</v>
      </c>
      <c r="D246" s="2" t="str">
        <f>("078144")</f>
        <v>078144</v>
      </c>
      <c r="E246" s="2" t="str">
        <f>("622454781443")</f>
        <v>622454781443</v>
      </c>
      <c r="G246" s="2" t="s">
        <v>285</v>
      </c>
      <c r="H246" s="5">
        <v>2693.45</v>
      </c>
      <c r="I246" s="2" t="s">
        <v>18</v>
      </c>
      <c r="J246" s="3">
        <v>43013</v>
      </c>
      <c r="K246" s="2">
        <v>0.312</v>
      </c>
      <c r="L246" s="2">
        <v>0.68799999999999994</v>
      </c>
      <c r="M246" s="2">
        <v>10</v>
      </c>
      <c r="N246" s="2" t="s">
        <v>281</v>
      </c>
    </row>
    <row r="247" spans="1:14" x14ac:dyDescent="0.3">
      <c r="A247" s="2" t="s">
        <v>14</v>
      </c>
      <c r="B247" s="2" t="s">
        <v>15</v>
      </c>
      <c r="C247" s="2" t="s">
        <v>16</v>
      </c>
      <c r="D247" s="2" t="str">
        <f>("078145")</f>
        <v>078145</v>
      </c>
      <c r="E247" s="2" t="str">
        <f>("622454781450")</f>
        <v>622454781450</v>
      </c>
      <c r="G247" s="2" t="s">
        <v>286</v>
      </c>
      <c r="H247" s="5">
        <v>4765.87</v>
      </c>
      <c r="I247" s="2" t="s">
        <v>18</v>
      </c>
      <c r="J247" s="3">
        <v>43013</v>
      </c>
      <c r="K247" s="2">
        <v>0.60499999999999998</v>
      </c>
      <c r="L247" s="2">
        <v>1.3340000000000001</v>
      </c>
      <c r="M247" s="2">
        <v>10</v>
      </c>
      <c r="N247" s="2" t="s">
        <v>281</v>
      </c>
    </row>
    <row r="248" spans="1:14" x14ac:dyDescent="0.3">
      <c r="A248" s="2" t="s">
        <v>14</v>
      </c>
      <c r="B248" s="2" t="s">
        <v>15</v>
      </c>
      <c r="C248" s="2" t="s">
        <v>16</v>
      </c>
      <c r="D248" s="2" t="str">
        <f>("078146")</f>
        <v>078146</v>
      </c>
      <c r="E248" s="2" t="str">
        <f>("622454781467")</f>
        <v>622454781467</v>
      </c>
      <c r="G248" s="2" t="s">
        <v>287</v>
      </c>
      <c r="H248" s="5">
        <v>17308.18</v>
      </c>
      <c r="I248" s="2" t="s">
        <v>18</v>
      </c>
      <c r="J248" s="3">
        <v>43013</v>
      </c>
      <c r="K248" s="2">
        <v>1.4770000000000001</v>
      </c>
      <c r="L248" s="2">
        <v>3.2559999999999998</v>
      </c>
      <c r="M248" s="2">
        <v>4</v>
      </c>
      <c r="N248" s="2" t="s">
        <v>281</v>
      </c>
    </row>
    <row r="249" spans="1:14" x14ac:dyDescent="0.3">
      <c r="A249" s="2" t="s">
        <v>14</v>
      </c>
      <c r="B249" s="2" t="s">
        <v>15</v>
      </c>
      <c r="C249" s="2" t="s">
        <v>16</v>
      </c>
      <c r="D249" s="2" t="str">
        <f>("078147")</f>
        <v>078147</v>
      </c>
      <c r="E249" s="2" t="str">
        <f>("622454781474")</f>
        <v>622454781474</v>
      </c>
      <c r="G249" s="2" t="s">
        <v>288</v>
      </c>
      <c r="H249" s="5">
        <v>17882.07</v>
      </c>
      <c r="I249" s="2" t="s">
        <v>18</v>
      </c>
      <c r="J249" s="3">
        <v>43013</v>
      </c>
      <c r="K249" s="2">
        <v>1.5369999999999999</v>
      </c>
      <c r="L249" s="2">
        <v>3.3889999999999998</v>
      </c>
      <c r="M249" s="2">
        <v>4</v>
      </c>
      <c r="N249" s="2" t="s">
        <v>281</v>
      </c>
    </row>
    <row r="250" spans="1:14" x14ac:dyDescent="0.3">
      <c r="A250" s="2" t="s">
        <v>14</v>
      </c>
      <c r="B250" s="2" t="s">
        <v>15</v>
      </c>
      <c r="C250" s="2" t="s">
        <v>16</v>
      </c>
      <c r="D250" s="2" t="str">
        <f>("078148")</f>
        <v>078148</v>
      </c>
      <c r="E250" s="2" t="str">
        <f>("622454781481")</f>
        <v>622454781481</v>
      </c>
      <c r="G250" s="2" t="s">
        <v>289</v>
      </c>
      <c r="H250" s="5">
        <v>19169.099999999999</v>
      </c>
      <c r="I250" s="2" t="s">
        <v>18</v>
      </c>
      <c r="J250" s="3">
        <v>43013</v>
      </c>
      <c r="K250" s="2">
        <v>2.56</v>
      </c>
      <c r="L250" s="2">
        <v>5.6440000000000001</v>
      </c>
      <c r="M250" s="2">
        <v>4</v>
      </c>
      <c r="N250" s="2" t="s">
        <v>281</v>
      </c>
    </row>
    <row r="251" spans="1:14" x14ac:dyDescent="0.3">
      <c r="A251" s="2" t="s">
        <v>14</v>
      </c>
      <c r="B251" s="2" t="s">
        <v>15</v>
      </c>
      <c r="C251" s="2" t="s">
        <v>16</v>
      </c>
      <c r="D251" s="2" t="str">
        <f>("078149")</f>
        <v>078149</v>
      </c>
      <c r="E251" s="2" t="str">
        <f>("622454781498")</f>
        <v>622454781498</v>
      </c>
      <c r="G251" s="2" t="s">
        <v>290</v>
      </c>
      <c r="H251" s="5">
        <v>19616.87</v>
      </c>
      <c r="I251" s="2" t="s">
        <v>18</v>
      </c>
      <c r="J251" s="3">
        <v>43013</v>
      </c>
      <c r="K251" s="2">
        <v>2.2290000000000001</v>
      </c>
      <c r="L251" s="2">
        <v>4.9139999999999997</v>
      </c>
      <c r="M251" s="2">
        <v>4</v>
      </c>
      <c r="N251" s="2" t="s">
        <v>281</v>
      </c>
    </row>
    <row r="252" spans="1:14" x14ac:dyDescent="0.3">
      <c r="A252" s="2" t="s">
        <v>14</v>
      </c>
      <c r="B252" s="2" t="s">
        <v>15</v>
      </c>
      <c r="C252" s="2" t="s">
        <v>16</v>
      </c>
      <c r="D252" s="2" t="str">
        <f>("078176")</f>
        <v>078176</v>
      </c>
      <c r="E252" s="2" t="str">
        <f>("622454781764")</f>
        <v>622454781764</v>
      </c>
      <c r="G252" s="2" t="s">
        <v>291</v>
      </c>
      <c r="H252" s="5">
        <v>1345.08</v>
      </c>
      <c r="I252" s="2" t="s">
        <v>18</v>
      </c>
      <c r="J252" s="3">
        <v>43013</v>
      </c>
      <c r="K252" s="2">
        <v>7.8E-2</v>
      </c>
      <c r="L252" s="2">
        <v>0.17199999999999999</v>
      </c>
      <c r="M252" s="2">
        <v>25</v>
      </c>
      <c r="N252" s="2" t="s">
        <v>281</v>
      </c>
    </row>
    <row r="253" spans="1:14" x14ac:dyDescent="0.3">
      <c r="A253" s="2" t="s">
        <v>14</v>
      </c>
      <c r="B253" s="2" t="s">
        <v>15</v>
      </c>
      <c r="C253" s="2" t="s">
        <v>16</v>
      </c>
      <c r="D253" s="2" t="str">
        <f>("078177")</f>
        <v>078177</v>
      </c>
      <c r="E253" s="2" t="str">
        <f>("622454781771")</f>
        <v>622454781771</v>
      </c>
      <c r="G253" s="2" t="s">
        <v>292</v>
      </c>
      <c r="H253" s="5">
        <v>1647.13</v>
      </c>
      <c r="I253" s="2" t="s">
        <v>18</v>
      </c>
      <c r="J253" s="3">
        <v>43013</v>
      </c>
      <c r="K253" s="2">
        <v>0.13100000000000001</v>
      </c>
      <c r="L253" s="2">
        <v>0.28899999999999998</v>
      </c>
      <c r="M253" s="2">
        <v>10</v>
      </c>
      <c r="N253" s="2" t="s">
        <v>281</v>
      </c>
    </row>
    <row r="254" spans="1:14" x14ac:dyDescent="0.3">
      <c r="A254" s="2" t="s">
        <v>14</v>
      </c>
      <c r="B254" s="2" t="s">
        <v>15</v>
      </c>
      <c r="C254" s="2" t="s">
        <v>16</v>
      </c>
      <c r="D254" s="2" t="str">
        <f>("078178")</f>
        <v>078178</v>
      </c>
      <c r="E254" s="2" t="str">
        <f>("622454781788")</f>
        <v>622454781788</v>
      </c>
      <c r="G254" s="2" t="s">
        <v>293</v>
      </c>
      <c r="H254" s="5">
        <v>1716.65</v>
      </c>
      <c r="I254" s="2" t="s">
        <v>18</v>
      </c>
      <c r="J254" s="3">
        <v>43013</v>
      </c>
      <c r="K254" s="2">
        <v>0.17599999999999999</v>
      </c>
      <c r="L254" s="2">
        <v>0.38800000000000001</v>
      </c>
      <c r="M254" s="2">
        <v>10</v>
      </c>
      <c r="N254" s="2" t="s">
        <v>281</v>
      </c>
    </row>
    <row r="255" spans="1:14" x14ac:dyDescent="0.3">
      <c r="A255" s="2" t="s">
        <v>14</v>
      </c>
      <c r="B255" s="2" t="s">
        <v>15</v>
      </c>
      <c r="C255" s="2" t="s">
        <v>16</v>
      </c>
      <c r="D255" s="2" t="str">
        <f>("078179")</f>
        <v>078179</v>
      </c>
      <c r="E255" s="2" t="str">
        <f>("622454781795")</f>
        <v>622454781795</v>
      </c>
      <c r="G255" s="2" t="s">
        <v>294</v>
      </c>
      <c r="H255" s="5">
        <v>2797.04</v>
      </c>
      <c r="I255" s="2" t="s">
        <v>18</v>
      </c>
      <c r="J255" s="3">
        <v>43013</v>
      </c>
      <c r="K255" s="2">
        <v>0.34399999999999997</v>
      </c>
      <c r="L255" s="2">
        <v>0.75800000000000001</v>
      </c>
      <c r="M255" s="2">
        <v>15</v>
      </c>
      <c r="N255" s="2" t="s">
        <v>281</v>
      </c>
    </row>
    <row r="256" spans="1:14" x14ac:dyDescent="0.3">
      <c r="A256" s="2" t="s">
        <v>14</v>
      </c>
      <c r="B256" s="2" t="s">
        <v>15</v>
      </c>
      <c r="C256" s="2" t="s">
        <v>16</v>
      </c>
      <c r="D256" s="2" t="str">
        <f>("078180")</f>
        <v>078180</v>
      </c>
      <c r="E256" s="2" t="str">
        <f>("622454781801")</f>
        <v>622454781801</v>
      </c>
      <c r="G256" s="2" t="s">
        <v>295</v>
      </c>
      <c r="H256" s="5">
        <v>3683.82</v>
      </c>
      <c r="I256" s="2" t="s">
        <v>18</v>
      </c>
      <c r="J256" s="3">
        <v>43013</v>
      </c>
      <c r="K256" s="2">
        <v>0.41799999999999998</v>
      </c>
      <c r="L256" s="2">
        <v>0.92200000000000004</v>
      </c>
      <c r="M256" s="2">
        <v>10</v>
      </c>
      <c r="N256" s="2" t="s">
        <v>281</v>
      </c>
    </row>
    <row r="257" spans="1:14" x14ac:dyDescent="0.3">
      <c r="A257" s="2" t="s">
        <v>14</v>
      </c>
      <c r="B257" s="2" t="s">
        <v>15</v>
      </c>
      <c r="C257" s="2" t="s">
        <v>16</v>
      </c>
      <c r="D257" s="2" t="str">
        <f>("078181")</f>
        <v>078181</v>
      </c>
      <c r="E257" s="2" t="str">
        <f>("622454781818")</f>
        <v>622454781818</v>
      </c>
      <c r="G257" s="2" t="s">
        <v>296</v>
      </c>
      <c r="H257" s="5">
        <v>5232.4399999999996</v>
      </c>
      <c r="I257" s="2" t="s">
        <v>18</v>
      </c>
      <c r="J257" s="3">
        <v>43013</v>
      </c>
      <c r="K257" s="2">
        <v>0.80900000000000005</v>
      </c>
      <c r="L257" s="2">
        <v>1.784</v>
      </c>
      <c r="M257" s="2">
        <v>10</v>
      </c>
      <c r="N257" s="2" t="s">
        <v>281</v>
      </c>
    </row>
    <row r="258" spans="1:14" x14ac:dyDescent="0.3">
      <c r="A258" s="2" t="s">
        <v>14</v>
      </c>
      <c r="B258" s="2" t="s">
        <v>15</v>
      </c>
      <c r="C258" s="2" t="s">
        <v>16</v>
      </c>
      <c r="D258" s="2" t="str">
        <f>("078182")</f>
        <v>078182</v>
      </c>
      <c r="E258" s="2" t="str">
        <f>("622454781825")</f>
        <v>622454781825</v>
      </c>
      <c r="G258" s="2" t="s">
        <v>297</v>
      </c>
      <c r="H258" s="5">
        <v>20656.7</v>
      </c>
      <c r="I258" s="2" t="s">
        <v>18</v>
      </c>
      <c r="J258" s="3">
        <v>43013</v>
      </c>
      <c r="K258" s="2">
        <v>1.8640000000000001</v>
      </c>
      <c r="L258" s="2">
        <v>4.109</v>
      </c>
      <c r="M258" s="2">
        <v>4</v>
      </c>
      <c r="N258" s="2" t="s">
        <v>281</v>
      </c>
    </row>
    <row r="259" spans="1:14" x14ac:dyDescent="0.3">
      <c r="A259" s="2" t="s">
        <v>14</v>
      </c>
      <c r="B259" s="2" t="s">
        <v>15</v>
      </c>
      <c r="C259" s="2" t="s">
        <v>16</v>
      </c>
      <c r="D259" s="2" t="str">
        <f>("078183")</f>
        <v>078183</v>
      </c>
      <c r="E259" s="2" t="str">
        <f>("622454781832")</f>
        <v>622454781832</v>
      </c>
      <c r="G259" s="2" t="s">
        <v>298</v>
      </c>
      <c r="H259" s="5">
        <v>23014.84</v>
      </c>
      <c r="I259" s="2" t="s">
        <v>18</v>
      </c>
      <c r="J259" s="3">
        <v>43013</v>
      </c>
      <c r="K259" s="2">
        <v>1.462</v>
      </c>
      <c r="L259" s="2">
        <v>3.2229999999999999</v>
      </c>
      <c r="M259" s="2">
        <v>4</v>
      </c>
      <c r="N259" s="2" t="s">
        <v>281</v>
      </c>
    </row>
    <row r="260" spans="1:14" x14ac:dyDescent="0.3">
      <c r="A260" s="2" t="s">
        <v>14</v>
      </c>
      <c r="B260" s="2" t="s">
        <v>15</v>
      </c>
      <c r="C260" s="2" t="s">
        <v>16</v>
      </c>
      <c r="D260" s="2" t="str">
        <f>("078184")</f>
        <v>078184</v>
      </c>
      <c r="E260" s="2" t="str">
        <f>("622454781849")</f>
        <v>622454781849</v>
      </c>
      <c r="G260" s="2" t="s">
        <v>299</v>
      </c>
      <c r="H260" s="5">
        <v>23605.24</v>
      </c>
      <c r="I260" s="2" t="s">
        <v>18</v>
      </c>
      <c r="J260" s="3">
        <v>43013</v>
      </c>
      <c r="K260" s="2">
        <v>2.7589999999999999</v>
      </c>
      <c r="L260" s="2">
        <v>6.0830000000000002</v>
      </c>
      <c r="M260" s="2">
        <v>4</v>
      </c>
      <c r="N260" s="2" t="s">
        <v>281</v>
      </c>
    </row>
    <row r="261" spans="1:14" x14ac:dyDescent="0.3">
      <c r="A261" s="2" t="s">
        <v>14</v>
      </c>
      <c r="B261" s="2" t="s">
        <v>15</v>
      </c>
      <c r="C261" s="2" t="s">
        <v>16</v>
      </c>
      <c r="D261" s="2" t="str">
        <f>("078185")</f>
        <v>078185</v>
      </c>
      <c r="E261" s="2" t="str">
        <f>("622454781856")</f>
        <v>622454781856</v>
      </c>
      <c r="G261" s="2" t="s">
        <v>300</v>
      </c>
      <c r="H261" s="5">
        <v>24782.57</v>
      </c>
      <c r="I261" s="2" t="s">
        <v>18</v>
      </c>
      <c r="J261" s="3">
        <v>43013</v>
      </c>
      <c r="K261" s="2">
        <v>2.27</v>
      </c>
      <c r="L261" s="2">
        <v>5.0039999999999996</v>
      </c>
      <c r="M261" s="2">
        <v>4</v>
      </c>
      <c r="N261" s="2" t="s">
        <v>281</v>
      </c>
    </row>
    <row r="262" spans="1:14" x14ac:dyDescent="0.3">
      <c r="A262" s="2" t="s">
        <v>14</v>
      </c>
      <c r="B262" s="2" t="s">
        <v>15</v>
      </c>
      <c r="C262" s="2" t="s">
        <v>16</v>
      </c>
      <c r="D262" s="2" t="str">
        <f>("078152")</f>
        <v>078152</v>
      </c>
      <c r="E262" s="2" t="str">
        <f>("622454781528")</f>
        <v>622454781528</v>
      </c>
      <c r="G262" s="2" t="s">
        <v>301</v>
      </c>
      <c r="H262" s="5">
        <v>1067.98</v>
      </c>
      <c r="I262" s="2" t="s">
        <v>18</v>
      </c>
      <c r="J262" s="3">
        <v>43013</v>
      </c>
      <c r="K262" s="2">
        <v>7.9000000000000001E-2</v>
      </c>
      <c r="L262" s="2">
        <v>0.17399999999999999</v>
      </c>
      <c r="M262" s="2">
        <v>25</v>
      </c>
      <c r="N262" s="2" t="s">
        <v>260</v>
      </c>
    </row>
    <row r="263" spans="1:14" x14ac:dyDescent="0.3">
      <c r="A263" s="2" t="s">
        <v>14</v>
      </c>
      <c r="B263" s="2" t="s">
        <v>15</v>
      </c>
      <c r="C263" s="2" t="s">
        <v>16</v>
      </c>
      <c r="D263" s="2" t="str">
        <f>("078153")</f>
        <v>078153</v>
      </c>
      <c r="E263" s="2" t="str">
        <f>("622454781535")</f>
        <v>622454781535</v>
      </c>
      <c r="G263" s="2" t="s">
        <v>302</v>
      </c>
      <c r="H263" s="5">
        <v>1601.78</v>
      </c>
      <c r="I263" s="2" t="s">
        <v>18</v>
      </c>
      <c r="J263" s="3">
        <v>43013</v>
      </c>
      <c r="K263" s="2">
        <v>0.127</v>
      </c>
      <c r="L263" s="2">
        <v>0.28000000000000003</v>
      </c>
      <c r="M263" s="2">
        <v>20</v>
      </c>
      <c r="N263" s="2" t="s">
        <v>260</v>
      </c>
    </row>
    <row r="264" spans="1:14" x14ac:dyDescent="0.3">
      <c r="A264" s="2" t="s">
        <v>14</v>
      </c>
      <c r="B264" s="2" t="s">
        <v>15</v>
      </c>
      <c r="C264" s="2" t="s">
        <v>16</v>
      </c>
      <c r="D264" s="2" t="str">
        <f>("078154")</f>
        <v>078154</v>
      </c>
      <c r="E264" s="2" t="str">
        <f>("622454781542")</f>
        <v>622454781542</v>
      </c>
      <c r="G264" s="2" t="s">
        <v>303</v>
      </c>
      <c r="H264" s="5">
        <v>1647.36</v>
      </c>
      <c r="I264" s="2" t="s">
        <v>18</v>
      </c>
      <c r="J264" s="3">
        <v>43013</v>
      </c>
      <c r="K264" s="2">
        <v>0.17599999999999999</v>
      </c>
      <c r="L264" s="2">
        <v>0.38800000000000001</v>
      </c>
      <c r="M264" s="2">
        <v>15</v>
      </c>
      <c r="N264" s="2" t="s">
        <v>260</v>
      </c>
    </row>
    <row r="265" spans="1:14" x14ac:dyDescent="0.3">
      <c r="A265" s="2" t="s">
        <v>14</v>
      </c>
      <c r="B265" s="2" t="s">
        <v>15</v>
      </c>
      <c r="C265" s="2" t="s">
        <v>16</v>
      </c>
      <c r="D265" s="2" t="str">
        <f>("078155")</f>
        <v>078155</v>
      </c>
      <c r="E265" s="2" t="str">
        <f>("622454781559")</f>
        <v>622454781559</v>
      </c>
      <c r="G265" s="2" t="s">
        <v>304</v>
      </c>
      <c r="H265" s="5">
        <v>2383.41</v>
      </c>
      <c r="I265" s="2" t="s">
        <v>18</v>
      </c>
      <c r="J265" s="3">
        <v>43013</v>
      </c>
      <c r="K265" s="2">
        <v>0.33700000000000002</v>
      </c>
      <c r="L265" s="2">
        <v>0.74299999999999999</v>
      </c>
      <c r="M265" s="2">
        <v>10</v>
      </c>
      <c r="N265" s="2" t="s">
        <v>260</v>
      </c>
    </row>
    <row r="266" spans="1:14" x14ac:dyDescent="0.3">
      <c r="A266" s="2" t="s">
        <v>14</v>
      </c>
      <c r="B266" s="2" t="s">
        <v>15</v>
      </c>
      <c r="C266" s="2" t="s">
        <v>16</v>
      </c>
      <c r="D266" s="2" t="str">
        <f>("078156")</f>
        <v>078156</v>
      </c>
      <c r="E266" s="2" t="str">
        <f>("622454781566")</f>
        <v>622454781566</v>
      </c>
      <c r="G266" s="2" t="s">
        <v>305</v>
      </c>
      <c r="H266" s="5">
        <v>2797.04</v>
      </c>
      <c r="I266" s="2" t="s">
        <v>18</v>
      </c>
      <c r="J266" s="3">
        <v>43013</v>
      </c>
      <c r="K266" s="2">
        <v>0.41499999999999998</v>
      </c>
      <c r="L266" s="2">
        <v>0.91500000000000004</v>
      </c>
      <c r="M266" s="2">
        <v>10</v>
      </c>
      <c r="N266" s="2" t="s">
        <v>260</v>
      </c>
    </row>
    <row r="267" spans="1:14" x14ac:dyDescent="0.3">
      <c r="A267" s="2" t="s">
        <v>14</v>
      </c>
      <c r="B267" s="2" t="s">
        <v>15</v>
      </c>
      <c r="C267" s="2" t="s">
        <v>16</v>
      </c>
      <c r="D267" s="2" t="str">
        <f>("078157")</f>
        <v>078157</v>
      </c>
      <c r="E267" s="2" t="str">
        <f>("622454781573")</f>
        <v>622454781573</v>
      </c>
      <c r="G267" s="2" t="s">
        <v>306</v>
      </c>
      <c r="H267" s="5">
        <v>4857.51</v>
      </c>
      <c r="I267" s="2" t="s">
        <v>18</v>
      </c>
      <c r="J267" s="3">
        <v>43013</v>
      </c>
      <c r="K267" s="2">
        <v>0.80800000000000005</v>
      </c>
      <c r="L267" s="2">
        <v>1.7809999999999999</v>
      </c>
      <c r="M267" s="2">
        <v>10</v>
      </c>
      <c r="N267" s="2" t="s">
        <v>260</v>
      </c>
    </row>
    <row r="268" spans="1:14" x14ac:dyDescent="0.3">
      <c r="A268" s="2" t="s">
        <v>14</v>
      </c>
      <c r="B268" s="2" t="s">
        <v>15</v>
      </c>
      <c r="C268" s="2" t="s">
        <v>16</v>
      </c>
      <c r="D268" s="2" t="str">
        <f>("078158")</f>
        <v>078158</v>
      </c>
      <c r="E268" s="2" t="str">
        <f>("622454781580")</f>
        <v>622454781580</v>
      </c>
      <c r="G268" s="2" t="s">
        <v>307</v>
      </c>
      <c r="H268" s="5">
        <v>20656.7</v>
      </c>
      <c r="I268" s="2" t="s">
        <v>18</v>
      </c>
      <c r="J268" s="3">
        <v>43013</v>
      </c>
      <c r="K268" s="2">
        <v>1.7270000000000001</v>
      </c>
      <c r="L268" s="2">
        <v>3.8069999999999999</v>
      </c>
      <c r="M268" s="2">
        <v>4</v>
      </c>
      <c r="N268" s="2" t="s">
        <v>260</v>
      </c>
    </row>
    <row r="269" spans="1:14" x14ac:dyDescent="0.3">
      <c r="A269" s="2" t="s">
        <v>14</v>
      </c>
      <c r="B269" s="2" t="s">
        <v>15</v>
      </c>
      <c r="C269" s="2" t="s">
        <v>16</v>
      </c>
      <c r="D269" s="2" t="str">
        <f>("078159")</f>
        <v>078159</v>
      </c>
      <c r="E269" s="2" t="str">
        <f>("622454781597")</f>
        <v>622454781597</v>
      </c>
      <c r="G269" s="2" t="s">
        <v>308</v>
      </c>
      <c r="H269" s="5">
        <v>23014.84</v>
      </c>
      <c r="I269" s="2" t="s">
        <v>18</v>
      </c>
      <c r="J269" s="3">
        <v>43013</v>
      </c>
      <c r="K269" s="2">
        <v>1.4590000000000001</v>
      </c>
      <c r="L269" s="2">
        <v>3.2170000000000001</v>
      </c>
      <c r="M269" s="2">
        <v>4</v>
      </c>
      <c r="N269" s="2" t="s">
        <v>260</v>
      </c>
    </row>
    <row r="270" spans="1:14" x14ac:dyDescent="0.3">
      <c r="A270" s="2" t="s">
        <v>14</v>
      </c>
      <c r="B270" s="2" t="s">
        <v>15</v>
      </c>
      <c r="C270" s="2" t="s">
        <v>16</v>
      </c>
      <c r="D270" s="2" t="str">
        <f>("078160")</f>
        <v>078160</v>
      </c>
      <c r="E270" s="2" t="str">
        <f>("622454781603")</f>
        <v>622454781603</v>
      </c>
      <c r="G270" s="2" t="s">
        <v>309</v>
      </c>
      <c r="H270" s="5">
        <v>23605.24</v>
      </c>
      <c r="I270" s="2" t="s">
        <v>18</v>
      </c>
      <c r="J270" s="3">
        <v>43013</v>
      </c>
      <c r="K270" s="2">
        <v>2.5760000000000001</v>
      </c>
      <c r="L270" s="2">
        <v>5.6790000000000003</v>
      </c>
      <c r="M270" s="2">
        <v>5</v>
      </c>
      <c r="N270" s="2" t="s">
        <v>260</v>
      </c>
    </row>
    <row r="271" spans="1:14" x14ac:dyDescent="0.3">
      <c r="A271" s="2" t="s">
        <v>14</v>
      </c>
      <c r="B271" s="2" t="s">
        <v>15</v>
      </c>
      <c r="C271" s="2" t="s">
        <v>16</v>
      </c>
      <c r="D271" s="2" t="str">
        <f>("078161")</f>
        <v>078161</v>
      </c>
      <c r="E271" s="2" t="str">
        <f>("622454781610")</f>
        <v>622454781610</v>
      </c>
      <c r="G271" s="2" t="s">
        <v>310</v>
      </c>
      <c r="H271" s="5">
        <v>24782.57</v>
      </c>
      <c r="I271" s="2" t="s">
        <v>18</v>
      </c>
      <c r="J271" s="3">
        <v>43013</v>
      </c>
      <c r="K271" s="2">
        <v>2.3039999999999998</v>
      </c>
      <c r="L271" s="2">
        <v>5.0789999999999997</v>
      </c>
      <c r="M271" s="2">
        <v>5</v>
      </c>
      <c r="N271" s="2" t="s">
        <v>260</v>
      </c>
    </row>
    <row r="272" spans="1:14" x14ac:dyDescent="0.3">
      <c r="A272" s="2" t="s">
        <v>14</v>
      </c>
      <c r="B272" s="2" t="s">
        <v>15</v>
      </c>
      <c r="C272" s="2" t="s">
        <v>16</v>
      </c>
      <c r="D272" s="2" t="str">
        <f>("078164")</f>
        <v>078164</v>
      </c>
      <c r="E272" s="2" t="str">
        <f>("622454781641")</f>
        <v>622454781641</v>
      </c>
      <c r="G272" s="2" t="s">
        <v>311</v>
      </c>
      <c r="H272" s="5">
        <v>1049.21</v>
      </c>
      <c r="I272" s="2" t="s">
        <v>18</v>
      </c>
      <c r="J272" s="3">
        <v>43013</v>
      </c>
      <c r="K272" s="2">
        <v>7.9000000000000001E-2</v>
      </c>
      <c r="L272" s="2">
        <v>0.17399999999999999</v>
      </c>
      <c r="M272" s="2">
        <v>25</v>
      </c>
      <c r="N272" s="2" t="s">
        <v>260</v>
      </c>
    </row>
    <row r="273" spans="1:14" x14ac:dyDescent="0.3">
      <c r="A273" s="2" t="s">
        <v>14</v>
      </c>
      <c r="B273" s="2" t="s">
        <v>15</v>
      </c>
      <c r="C273" s="2" t="s">
        <v>16</v>
      </c>
      <c r="D273" s="2" t="str">
        <f>("078165")</f>
        <v>078165</v>
      </c>
      <c r="E273" s="2" t="str">
        <f>("622454781658")</f>
        <v>622454781658</v>
      </c>
      <c r="G273" s="2" t="s">
        <v>312</v>
      </c>
      <c r="H273" s="5">
        <v>1503.67</v>
      </c>
      <c r="I273" s="2" t="s">
        <v>18</v>
      </c>
      <c r="J273" s="3">
        <v>43013</v>
      </c>
      <c r="K273" s="2">
        <v>0.13100000000000001</v>
      </c>
      <c r="L273" s="2">
        <v>0.28899999999999998</v>
      </c>
      <c r="M273" s="2">
        <v>20</v>
      </c>
      <c r="N273" s="2" t="s">
        <v>260</v>
      </c>
    </row>
    <row r="274" spans="1:14" x14ac:dyDescent="0.3">
      <c r="A274" s="2" t="s">
        <v>14</v>
      </c>
      <c r="B274" s="2" t="s">
        <v>15</v>
      </c>
      <c r="C274" s="2" t="s">
        <v>16</v>
      </c>
      <c r="D274" s="2" t="str">
        <f>("078166")</f>
        <v>078166</v>
      </c>
      <c r="E274" s="2" t="str">
        <f>("622454781665")</f>
        <v>622454781665</v>
      </c>
      <c r="G274" s="2" t="s">
        <v>313</v>
      </c>
      <c r="H274" s="5">
        <v>1626.33</v>
      </c>
      <c r="I274" s="2" t="s">
        <v>18</v>
      </c>
      <c r="J274" s="3">
        <v>43013</v>
      </c>
      <c r="K274" s="2">
        <v>0.17799999999999999</v>
      </c>
      <c r="L274" s="2">
        <v>0.39200000000000002</v>
      </c>
      <c r="M274" s="2">
        <v>15</v>
      </c>
      <c r="N274" s="2" t="s">
        <v>260</v>
      </c>
    </row>
    <row r="275" spans="1:14" x14ac:dyDescent="0.3">
      <c r="A275" s="2" t="s">
        <v>14</v>
      </c>
      <c r="B275" s="2" t="s">
        <v>15</v>
      </c>
      <c r="C275" s="2" t="s">
        <v>16</v>
      </c>
      <c r="D275" s="2" t="str">
        <f>("078167")</f>
        <v>078167</v>
      </c>
      <c r="E275" s="2" t="str">
        <f>("622454781672")</f>
        <v>622454781672</v>
      </c>
      <c r="G275" s="2" t="s">
        <v>314</v>
      </c>
      <c r="H275" s="5">
        <v>2355.39</v>
      </c>
      <c r="I275" s="2" t="s">
        <v>18</v>
      </c>
      <c r="J275" s="3">
        <v>43013</v>
      </c>
      <c r="K275" s="2">
        <v>0.33400000000000002</v>
      </c>
      <c r="L275" s="2">
        <v>0.73599999999999999</v>
      </c>
      <c r="M275" s="2">
        <v>10</v>
      </c>
      <c r="N275" s="2" t="s">
        <v>260</v>
      </c>
    </row>
    <row r="276" spans="1:14" x14ac:dyDescent="0.3">
      <c r="A276" s="2" t="s">
        <v>14</v>
      </c>
      <c r="B276" s="2" t="s">
        <v>15</v>
      </c>
      <c r="C276" s="2" t="s">
        <v>16</v>
      </c>
      <c r="D276" s="2" t="str">
        <f>("078168")</f>
        <v>078168</v>
      </c>
      <c r="E276" s="2" t="str">
        <f>("622454781689")</f>
        <v>622454781689</v>
      </c>
      <c r="G276" s="2" t="s">
        <v>315</v>
      </c>
      <c r="H276" s="5">
        <v>2719.95</v>
      </c>
      <c r="I276" s="2" t="s">
        <v>18</v>
      </c>
      <c r="J276" s="3">
        <v>43013</v>
      </c>
      <c r="K276" s="2">
        <v>0.41899999999999998</v>
      </c>
      <c r="L276" s="2">
        <v>0.92400000000000004</v>
      </c>
      <c r="M276" s="2">
        <v>10</v>
      </c>
      <c r="N276" s="2" t="s">
        <v>260</v>
      </c>
    </row>
    <row r="277" spans="1:14" x14ac:dyDescent="0.3">
      <c r="A277" s="2" t="s">
        <v>14</v>
      </c>
      <c r="B277" s="2" t="s">
        <v>15</v>
      </c>
      <c r="C277" s="2" t="s">
        <v>16</v>
      </c>
      <c r="D277" s="2" t="str">
        <f>("078169")</f>
        <v>078169</v>
      </c>
      <c r="E277" s="2" t="str">
        <f>("622454781696")</f>
        <v>622454781696</v>
      </c>
      <c r="G277" s="2" t="s">
        <v>316</v>
      </c>
      <c r="H277" s="5">
        <v>4857.51</v>
      </c>
      <c r="I277" s="2" t="s">
        <v>18</v>
      </c>
      <c r="J277" s="3">
        <v>43013</v>
      </c>
      <c r="K277" s="2">
        <v>0.80200000000000005</v>
      </c>
      <c r="L277" s="2">
        <v>1.768</v>
      </c>
      <c r="M277" s="2">
        <v>10</v>
      </c>
      <c r="N277" s="2" t="s">
        <v>260</v>
      </c>
    </row>
    <row r="278" spans="1:14" x14ac:dyDescent="0.3">
      <c r="A278" s="2" t="s">
        <v>14</v>
      </c>
      <c r="B278" s="2" t="s">
        <v>15</v>
      </c>
      <c r="C278" s="2" t="s">
        <v>16</v>
      </c>
      <c r="D278" s="2" t="str">
        <f>("078170")</f>
        <v>078170</v>
      </c>
      <c r="E278" s="2" t="str">
        <f>("622454781702")</f>
        <v>622454781702</v>
      </c>
      <c r="G278" s="2" t="s">
        <v>317</v>
      </c>
      <c r="H278" s="5">
        <v>20632.57</v>
      </c>
      <c r="I278" s="2" t="s">
        <v>18</v>
      </c>
      <c r="J278" s="3">
        <v>43013</v>
      </c>
      <c r="K278" s="2">
        <v>1.7470000000000001</v>
      </c>
      <c r="L278" s="2">
        <v>3.851</v>
      </c>
      <c r="M278" s="2">
        <v>4</v>
      </c>
      <c r="N278" s="2" t="s">
        <v>260</v>
      </c>
    </row>
    <row r="279" spans="1:14" x14ac:dyDescent="0.3">
      <c r="A279" s="2" t="s">
        <v>14</v>
      </c>
      <c r="B279" s="2" t="s">
        <v>15</v>
      </c>
      <c r="C279" s="2" t="s">
        <v>16</v>
      </c>
      <c r="D279" s="2" t="str">
        <f>("078171")</f>
        <v>078171</v>
      </c>
      <c r="E279" s="2" t="str">
        <f>("622454781719")</f>
        <v>622454781719</v>
      </c>
      <c r="G279" s="2" t="s">
        <v>318</v>
      </c>
      <c r="H279" s="5">
        <v>22990.67</v>
      </c>
      <c r="I279" s="2" t="s">
        <v>18</v>
      </c>
      <c r="J279" s="3">
        <v>43013</v>
      </c>
      <c r="K279" s="2">
        <v>1.4590000000000001</v>
      </c>
      <c r="L279" s="2">
        <v>3.2170000000000001</v>
      </c>
      <c r="M279" s="2">
        <v>4</v>
      </c>
      <c r="N279" s="2" t="s">
        <v>260</v>
      </c>
    </row>
    <row r="280" spans="1:14" x14ac:dyDescent="0.3">
      <c r="A280" s="2" t="s">
        <v>14</v>
      </c>
      <c r="B280" s="2" t="s">
        <v>15</v>
      </c>
      <c r="C280" s="2" t="s">
        <v>16</v>
      </c>
      <c r="D280" s="2" t="str">
        <f>("078172")</f>
        <v>078172</v>
      </c>
      <c r="E280" s="2" t="str">
        <f>("622454781726")</f>
        <v>622454781726</v>
      </c>
      <c r="G280" s="2" t="s">
        <v>319</v>
      </c>
      <c r="H280" s="5">
        <v>23581.03</v>
      </c>
      <c r="I280" s="2" t="s">
        <v>18</v>
      </c>
      <c r="J280" s="3">
        <v>43013</v>
      </c>
      <c r="K280" s="2">
        <v>2.524</v>
      </c>
      <c r="L280" s="2">
        <v>5.5640000000000001</v>
      </c>
      <c r="M280" s="2">
        <v>5</v>
      </c>
      <c r="N280" s="2" t="s">
        <v>260</v>
      </c>
    </row>
    <row r="281" spans="1:14" x14ac:dyDescent="0.3">
      <c r="A281" s="2" t="s">
        <v>14</v>
      </c>
      <c r="B281" s="2" t="s">
        <v>15</v>
      </c>
      <c r="C281" s="2" t="s">
        <v>16</v>
      </c>
      <c r="D281" s="2" t="str">
        <f>("078173")</f>
        <v>078173</v>
      </c>
      <c r="E281" s="2" t="str">
        <f>("622454781733")</f>
        <v>622454781733</v>
      </c>
      <c r="G281" s="2" t="s">
        <v>320</v>
      </c>
      <c r="H281" s="5">
        <v>24754.9</v>
      </c>
      <c r="I281" s="2" t="s">
        <v>18</v>
      </c>
      <c r="J281" s="3">
        <v>43013</v>
      </c>
      <c r="K281" s="2">
        <v>2.2789999999999999</v>
      </c>
      <c r="L281" s="2">
        <v>5.024</v>
      </c>
      <c r="M281" s="2">
        <v>5</v>
      </c>
      <c r="N281" s="2" t="s">
        <v>260</v>
      </c>
    </row>
    <row r="282" spans="1:14" x14ac:dyDescent="0.3">
      <c r="A282" s="2" t="s">
        <v>14</v>
      </c>
      <c r="B282" s="2" t="s">
        <v>15</v>
      </c>
      <c r="C282" s="2" t="s">
        <v>16</v>
      </c>
      <c r="D282" s="2" t="str">
        <f>("077451")</f>
        <v>077451</v>
      </c>
      <c r="E282" s="2" t="str">
        <f>("622454774513")</f>
        <v>622454774513</v>
      </c>
      <c r="G282" s="2" t="s">
        <v>321</v>
      </c>
      <c r="H282" s="5">
        <v>2122.16</v>
      </c>
      <c r="I282" s="2" t="s">
        <v>18</v>
      </c>
      <c r="J282" s="3">
        <v>43013</v>
      </c>
      <c r="K282" s="2">
        <v>0.14899999999999999</v>
      </c>
      <c r="L282" s="2">
        <v>0.32800000000000001</v>
      </c>
      <c r="M282" s="2">
        <v>20</v>
      </c>
      <c r="N282" s="2" t="s">
        <v>260</v>
      </c>
    </row>
    <row r="283" spans="1:14" x14ac:dyDescent="0.3">
      <c r="A283" s="2" t="s">
        <v>14</v>
      </c>
      <c r="B283" s="2" t="s">
        <v>15</v>
      </c>
      <c r="C283" s="2" t="s">
        <v>16</v>
      </c>
      <c r="D283" s="2" t="str">
        <f>("077452")</f>
        <v>077452</v>
      </c>
      <c r="E283" s="2" t="str">
        <f>("622454774520")</f>
        <v>622454774520</v>
      </c>
      <c r="G283" s="2" t="s">
        <v>322</v>
      </c>
      <c r="H283" s="5">
        <v>2370.4</v>
      </c>
      <c r="I283" s="2" t="s">
        <v>18</v>
      </c>
      <c r="J283" s="3">
        <v>43013</v>
      </c>
      <c r="K283" s="2">
        <v>0.13</v>
      </c>
      <c r="L283" s="2">
        <v>0.28699999999999998</v>
      </c>
      <c r="M283" s="2">
        <v>20</v>
      </c>
      <c r="N283" s="2" t="s">
        <v>260</v>
      </c>
    </row>
    <row r="284" spans="1:14" x14ac:dyDescent="0.3">
      <c r="A284" s="2" t="s">
        <v>14</v>
      </c>
      <c r="B284" s="2" t="s">
        <v>15</v>
      </c>
      <c r="C284" s="2" t="s">
        <v>16</v>
      </c>
      <c r="D284" s="2" t="str">
        <f>("077453")</f>
        <v>077453</v>
      </c>
      <c r="E284" s="2" t="str">
        <f>("622454774537")</f>
        <v>622454774537</v>
      </c>
      <c r="G284" s="2" t="s">
        <v>323</v>
      </c>
      <c r="H284" s="5">
        <v>2461.2199999999998</v>
      </c>
      <c r="I284" s="2" t="s">
        <v>18</v>
      </c>
      <c r="J284" s="3">
        <v>43013</v>
      </c>
      <c r="K284" s="2">
        <v>0.20899999999999999</v>
      </c>
      <c r="L284" s="2">
        <v>0.46100000000000002</v>
      </c>
      <c r="M284" s="2">
        <v>10</v>
      </c>
      <c r="N284" s="2" t="s">
        <v>260</v>
      </c>
    </row>
    <row r="285" spans="1:14" x14ac:dyDescent="0.3">
      <c r="A285" s="2" t="s">
        <v>14</v>
      </c>
      <c r="B285" s="2" t="s">
        <v>15</v>
      </c>
      <c r="C285" s="2" t="s">
        <v>16</v>
      </c>
      <c r="D285" s="2" t="str">
        <f>("077454")</f>
        <v>077454</v>
      </c>
      <c r="E285" s="2" t="str">
        <f>("622454774544")</f>
        <v>622454774544</v>
      </c>
      <c r="G285" s="2" t="s">
        <v>324</v>
      </c>
      <c r="H285" s="5">
        <v>3225.1</v>
      </c>
      <c r="I285" s="2" t="s">
        <v>18</v>
      </c>
      <c r="J285" s="3">
        <v>43013</v>
      </c>
      <c r="K285" s="2">
        <v>0.36</v>
      </c>
      <c r="L285" s="2">
        <v>0.79400000000000004</v>
      </c>
      <c r="M285" s="2">
        <v>10</v>
      </c>
      <c r="N285" s="2" t="s">
        <v>260</v>
      </c>
    </row>
    <row r="286" spans="1:14" x14ac:dyDescent="0.3">
      <c r="A286" s="2" t="s">
        <v>14</v>
      </c>
      <c r="B286" s="2" t="s">
        <v>15</v>
      </c>
      <c r="C286" s="2" t="s">
        <v>16</v>
      </c>
      <c r="D286" s="2" t="str">
        <f>("077455")</f>
        <v>077455</v>
      </c>
      <c r="E286" s="2" t="str">
        <f>("622454774551")</f>
        <v>622454774551</v>
      </c>
      <c r="G286" s="2" t="s">
        <v>325</v>
      </c>
      <c r="H286" s="5">
        <v>4562.18</v>
      </c>
      <c r="I286" s="2" t="s">
        <v>18</v>
      </c>
      <c r="J286" s="3">
        <v>43013</v>
      </c>
      <c r="K286" s="2">
        <v>0.439</v>
      </c>
      <c r="L286" s="2">
        <v>0.96799999999999997</v>
      </c>
      <c r="M286" s="2">
        <v>15</v>
      </c>
      <c r="N286" s="2" t="s">
        <v>260</v>
      </c>
    </row>
    <row r="287" spans="1:14" x14ac:dyDescent="0.3">
      <c r="A287" s="2" t="s">
        <v>14</v>
      </c>
      <c r="B287" s="2" t="s">
        <v>15</v>
      </c>
      <c r="C287" s="2" t="s">
        <v>16</v>
      </c>
      <c r="D287" s="2" t="str">
        <f>("077456")</f>
        <v>077456</v>
      </c>
      <c r="E287" s="2" t="str">
        <f>("622454774568")</f>
        <v>622454774568</v>
      </c>
      <c r="G287" s="2" t="s">
        <v>326</v>
      </c>
      <c r="H287" s="5">
        <v>5936.58</v>
      </c>
      <c r="I287" s="2" t="s">
        <v>18</v>
      </c>
      <c r="J287" s="3">
        <v>43013</v>
      </c>
      <c r="K287" s="2">
        <v>0.80500000000000005</v>
      </c>
      <c r="L287" s="2">
        <v>1.7749999999999999</v>
      </c>
      <c r="M287" s="2">
        <v>10</v>
      </c>
      <c r="N287" s="2" t="s">
        <v>260</v>
      </c>
    </row>
    <row r="288" spans="1:14" x14ac:dyDescent="0.3">
      <c r="A288" s="2" t="s">
        <v>14</v>
      </c>
      <c r="B288" s="2" t="s">
        <v>15</v>
      </c>
      <c r="C288" s="2" t="s">
        <v>16</v>
      </c>
      <c r="D288" s="2" t="str">
        <f>("078386")</f>
        <v>078386</v>
      </c>
      <c r="E288" s="2" t="str">
        <f>("622454783867")</f>
        <v>622454783867</v>
      </c>
      <c r="G288" s="2" t="s">
        <v>327</v>
      </c>
      <c r="H288" s="5">
        <v>1070.25</v>
      </c>
      <c r="I288" s="2" t="s">
        <v>18</v>
      </c>
      <c r="J288" s="3">
        <v>43013</v>
      </c>
      <c r="K288" s="2">
        <v>7.1999999999999995E-2</v>
      </c>
      <c r="L288" s="2">
        <v>0.159</v>
      </c>
      <c r="M288" s="2">
        <v>50</v>
      </c>
      <c r="N288" s="2" t="s">
        <v>328</v>
      </c>
    </row>
    <row r="289" spans="1:14" x14ac:dyDescent="0.3">
      <c r="A289" s="2" t="s">
        <v>14</v>
      </c>
      <c r="B289" s="2" t="s">
        <v>15</v>
      </c>
      <c r="C289" s="2" t="s">
        <v>16</v>
      </c>
      <c r="D289" s="2" t="str">
        <f>("077985")</f>
        <v>077985</v>
      </c>
      <c r="E289" s="2" t="str">
        <f>("622454779853")</f>
        <v>622454779853</v>
      </c>
      <c r="G289" s="2" t="s">
        <v>329</v>
      </c>
      <c r="H289" s="5">
        <v>1877.36</v>
      </c>
      <c r="I289" s="2" t="s">
        <v>18</v>
      </c>
      <c r="J289" s="3">
        <v>43013</v>
      </c>
      <c r="K289" s="2">
        <v>5.7000000000000002E-2</v>
      </c>
      <c r="L289" s="2">
        <v>0.126</v>
      </c>
      <c r="M289" s="2">
        <v>50</v>
      </c>
      <c r="N289" s="2" t="s">
        <v>330</v>
      </c>
    </row>
    <row r="290" spans="1:14" x14ac:dyDescent="0.3">
      <c r="A290" s="2" t="s">
        <v>14</v>
      </c>
      <c r="B290" s="2" t="s">
        <v>15</v>
      </c>
      <c r="C290" s="2" t="s">
        <v>16</v>
      </c>
      <c r="D290" s="2" t="str">
        <f>("278102")</f>
        <v>278102</v>
      </c>
      <c r="E290" s="2" t="str">
        <f>("622454132511")</f>
        <v>622454132511</v>
      </c>
      <c r="G290" s="2" t="s">
        <v>331</v>
      </c>
      <c r="H290" s="5">
        <v>1846.27</v>
      </c>
      <c r="I290" s="2" t="s">
        <v>18</v>
      </c>
      <c r="J290" s="3">
        <v>43013</v>
      </c>
      <c r="K290" s="2">
        <v>6.2E-2</v>
      </c>
      <c r="L290" s="2">
        <v>0.13700000000000001</v>
      </c>
      <c r="M290" s="2">
        <v>50</v>
      </c>
      <c r="N290" s="2" t="s">
        <v>330</v>
      </c>
    </row>
    <row r="291" spans="1:14" x14ac:dyDescent="0.3">
      <c r="A291" s="2" t="s">
        <v>14</v>
      </c>
      <c r="B291" s="2" t="s">
        <v>15</v>
      </c>
      <c r="C291" s="2" t="s">
        <v>16</v>
      </c>
      <c r="D291" s="2" t="str">
        <f>("278100")</f>
        <v>278100</v>
      </c>
      <c r="E291" s="2" t="str">
        <f>("622454132498")</f>
        <v>622454132498</v>
      </c>
      <c r="G291" s="2" t="s">
        <v>332</v>
      </c>
      <c r="H291" s="5">
        <v>1846.27</v>
      </c>
      <c r="I291" s="2" t="s">
        <v>18</v>
      </c>
      <c r="J291" s="3">
        <v>43013</v>
      </c>
      <c r="K291" s="2">
        <v>7.5999999999999998E-2</v>
      </c>
      <c r="L291" s="2">
        <v>0.16800000000000001</v>
      </c>
      <c r="M291" s="2">
        <v>50</v>
      </c>
      <c r="N291" s="2" t="s">
        <v>330</v>
      </c>
    </row>
    <row r="292" spans="1:14" x14ac:dyDescent="0.3">
      <c r="A292" s="2" t="s">
        <v>14</v>
      </c>
      <c r="B292" s="2" t="s">
        <v>15</v>
      </c>
      <c r="C292" s="2" t="s">
        <v>16</v>
      </c>
      <c r="D292" s="2" t="str">
        <f>("278101")</f>
        <v>278101</v>
      </c>
      <c r="E292" s="2" t="str">
        <f>("622454132504")</f>
        <v>622454132504</v>
      </c>
      <c r="G292" s="2" t="s">
        <v>333</v>
      </c>
      <c r="H292" s="5">
        <v>1846.27</v>
      </c>
      <c r="I292" s="2" t="s">
        <v>18</v>
      </c>
      <c r="J292" s="3">
        <v>43013</v>
      </c>
      <c r="K292" s="2">
        <v>8.2000000000000003E-2</v>
      </c>
      <c r="L292" s="2">
        <v>0.18099999999999999</v>
      </c>
      <c r="M292" s="2">
        <v>50</v>
      </c>
      <c r="N292" s="2" t="s">
        <v>330</v>
      </c>
    </row>
    <row r="293" spans="1:14" x14ac:dyDescent="0.3">
      <c r="A293" s="2" t="s">
        <v>14</v>
      </c>
      <c r="B293" s="2" t="s">
        <v>15</v>
      </c>
      <c r="C293" s="2" t="s">
        <v>16</v>
      </c>
      <c r="D293" s="2" t="str">
        <f>("078242")</f>
        <v>078242</v>
      </c>
      <c r="E293" s="2" t="str">
        <f>("622454782426")</f>
        <v>622454782426</v>
      </c>
      <c r="G293" s="2" t="s">
        <v>334</v>
      </c>
      <c r="H293" s="5">
        <v>3408.62</v>
      </c>
      <c r="I293" s="2" t="s">
        <v>18</v>
      </c>
      <c r="J293" s="3">
        <v>43013</v>
      </c>
      <c r="K293" s="2">
        <v>0.50700000000000001</v>
      </c>
      <c r="L293" s="2">
        <v>1.1180000000000001</v>
      </c>
      <c r="M293" s="2">
        <v>12</v>
      </c>
      <c r="N293" s="2" t="s">
        <v>335</v>
      </c>
    </row>
    <row r="294" spans="1:14" x14ac:dyDescent="0.3">
      <c r="A294" s="2" t="s">
        <v>14</v>
      </c>
      <c r="B294" s="2" t="s">
        <v>15</v>
      </c>
      <c r="C294" s="2" t="s">
        <v>16</v>
      </c>
      <c r="D294" s="2" t="str">
        <f>("078243")</f>
        <v>078243</v>
      </c>
      <c r="E294" s="2" t="str">
        <f>("622454782433")</f>
        <v>622454782433</v>
      </c>
      <c r="G294" s="2" t="s">
        <v>336</v>
      </c>
      <c r="H294" s="5">
        <v>5622.84</v>
      </c>
      <c r="I294" s="2" t="s">
        <v>18</v>
      </c>
      <c r="J294" s="3">
        <v>43013</v>
      </c>
      <c r="K294" s="2">
        <v>0.70399999999999996</v>
      </c>
      <c r="L294" s="2">
        <v>1.552</v>
      </c>
      <c r="M294" s="2">
        <v>10</v>
      </c>
      <c r="N294" s="2" t="s">
        <v>335</v>
      </c>
    </row>
    <row r="295" spans="1:14" x14ac:dyDescent="0.3">
      <c r="A295" s="2" t="s">
        <v>14</v>
      </c>
      <c r="B295" s="2" t="s">
        <v>15</v>
      </c>
      <c r="C295" s="2" t="s">
        <v>16</v>
      </c>
      <c r="D295" s="2" t="str">
        <f>("078244")</f>
        <v>078244</v>
      </c>
      <c r="E295" s="2" t="str">
        <f>("622454782440")</f>
        <v>622454782440</v>
      </c>
      <c r="G295" s="2" t="s">
        <v>337</v>
      </c>
      <c r="H295" s="5">
        <v>6482.6</v>
      </c>
      <c r="I295" s="2" t="s">
        <v>18</v>
      </c>
      <c r="J295" s="3">
        <v>43013</v>
      </c>
      <c r="K295" s="2">
        <v>0.84899999999999998</v>
      </c>
      <c r="L295" s="2">
        <v>1.8720000000000001</v>
      </c>
      <c r="M295" s="2">
        <v>15</v>
      </c>
      <c r="N295" s="2" t="s">
        <v>335</v>
      </c>
    </row>
    <row r="296" spans="1:14" x14ac:dyDescent="0.3">
      <c r="A296" s="2" t="s">
        <v>14</v>
      </c>
      <c r="B296" s="2" t="s">
        <v>15</v>
      </c>
      <c r="C296" s="2" t="s">
        <v>16</v>
      </c>
      <c r="D296" s="2" t="str">
        <f>("078245")</f>
        <v>078245</v>
      </c>
      <c r="E296" s="2" t="str">
        <f>("622454782457")</f>
        <v>622454782457</v>
      </c>
      <c r="G296" s="2" t="s">
        <v>338</v>
      </c>
      <c r="H296" s="5">
        <v>6752.69</v>
      </c>
      <c r="I296" s="2" t="s">
        <v>18</v>
      </c>
      <c r="J296" s="3">
        <v>43013</v>
      </c>
      <c r="K296" s="2">
        <v>0.61399999999999999</v>
      </c>
      <c r="L296" s="2">
        <v>1.3540000000000001</v>
      </c>
      <c r="M296" s="2">
        <v>12</v>
      </c>
      <c r="N296" s="2" t="s">
        <v>335</v>
      </c>
    </row>
    <row r="297" spans="1:14" x14ac:dyDescent="0.3">
      <c r="A297" s="2" t="s">
        <v>14</v>
      </c>
      <c r="B297" s="2" t="s">
        <v>15</v>
      </c>
      <c r="C297" s="2" t="s">
        <v>16</v>
      </c>
      <c r="D297" s="2" t="str">
        <f>("078246")</f>
        <v>078246</v>
      </c>
      <c r="E297" s="2" t="str">
        <f>("622454782464")</f>
        <v>622454782464</v>
      </c>
      <c r="G297" s="2" t="s">
        <v>339</v>
      </c>
      <c r="H297" s="5">
        <v>6883.36</v>
      </c>
      <c r="I297" s="2" t="s">
        <v>18</v>
      </c>
      <c r="J297" s="3">
        <v>43013</v>
      </c>
      <c r="K297" s="2">
        <v>1.143</v>
      </c>
      <c r="L297" s="2">
        <v>2.52</v>
      </c>
      <c r="M297" s="2">
        <v>5</v>
      </c>
      <c r="N297" s="2" t="s">
        <v>335</v>
      </c>
    </row>
    <row r="298" spans="1:14" x14ac:dyDescent="0.3">
      <c r="A298" s="2" t="s">
        <v>14</v>
      </c>
      <c r="B298" s="2" t="s">
        <v>15</v>
      </c>
      <c r="C298" s="2" t="s">
        <v>16</v>
      </c>
      <c r="D298" s="2" t="str">
        <f>("078247")</f>
        <v>078247</v>
      </c>
      <c r="E298" s="2" t="str">
        <f>("622454782471")</f>
        <v>622454782471</v>
      </c>
      <c r="G298" s="2" t="s">
        <v>340</v>
      </c>
      <c r="H298" s="5">
        <v>8032.1</v>
      </c>
      <c r="I298" s="2" t="s">
        <v>18</v>
      </c>
      <c r="J298" s="3">
        <v>43013</v>
      </c>
      <c r="K298" s="2">
        <v>1.3260000000000001</v>
      </c>
      <c r="L298" s="2">
        <v>2.923</v>
      </c>
      <c r="M298" s="2">
        <v>8</v>
      </c>
      <c r="N298" s="2" t="s">
        <v>335</v>
      </c>
    </row>
    <row r="299" spans="1:14" x14ac:dyDescent="0.3">
      <c r="A299" s="2" t="s">
        <v>14</v>
      </c>
      <c r="B299" s="2" t="s">
        <v>15</v>
      </c>
      <c r="C299" s="2" t="s">
        <v>16</v>
      </c>
      <c r="D299" s="2" t="str">
        <f>("078248")</f>
        <v>078248</v>
      </c>
      <c r="E299" s="2" t="str">
        <f>("622454782488")</f>
        <v>622454782488</v>
      </c>
      <c r="G299" s="2" t="s">
        <v>341</v>
      </c>
      <c r="H299" s="5">
        <v>12986.52</v>
      </c>
      <c r="I299" s="2" t="s">
        <v>18</v>
      </c>
      <c r="J299" s="3">
        <v>43013</v>
      </c>
      <c r="K299" s="2">
        <v>1.577</v>
      </c>
      <c r="L299" s="2">
        <v>3.4769999999999999</v>
      </c>
      <c r="M299" s="2">
        <v>5</v>
      </c>
      <c r="N299" s="2" t="s">
        <v>335</v>
      </c>
    </row>
    <row r="300" spans="1:14" x14ac:dyDescent="0.3">
      <c r="A300" s="2" t="s">
        <v>14</v>
      </c>
      <c r="B300" s="2" t="s">
        <v>15</v>
      </c>
      <c r="C300" s="2" t="s">
        <v>16</v>
      </c>
      <c r="D300" s="2" t="str">
        <f>("078249")</f>
        <v>078249</v>
      </c>
      <c r="E300" s="2" t="str">
        <f>("622454782495")</f>
        <v>622454782495</v>
      </c>
      <c r="G300" s="2" t="s">
        <v>342</v>
      </c>
      <c r="H300" s="5">
        <v>19424.73</v>
      </c>
      <c r="I300" s="2" t="s">
        <v>18</v>
      </c>
      <c r="J300" s="3">
        <v>43013</v>
      </c>
      <c r="K300" s="2">
        <v>2.2160000000000002</v>
      </c>
      <c r="L300" s="2">
        <v>4.8849999999999998</v>
      </c>
      <c r="M300" s="2">
        <v>2</v>
      </c>
      <c r="N300" s="2" t="s">
        <v>335</v>
      </c>
    </row>
    <row r="301" spans="1:14" x14ac:dyDescent="0.3">
      <c r="A301" s="2" t="s">
        <v>14</v>
      </c>
      <c r="B301" s="2" t="s">
        <v>15</v>
      </c>
      <c r="C301" s="2" t="s">
        <v>16</v>
      </c>
      <c r="D301" s="2" t="str">
        <f>("078250")</f>
        <v>078250</v>
      </c>
      <c r="E301" s="2" t="str">
        <f>("622454782501")</f>
        <v>622454782501</v>
      </c>
      <c r="G301" s="2" t="s">
        <v>343</v>
      </c>
      <c r="H301" s="5">
        <v>19941.62</v>
      </c>
      <c r="I301" s="2" t="s">
        <v>18</v>
      </c>
      <c r="J301" s="3">
        <v>43013</v>
      </c>
      <c r="K301" s="2">
        <v>3.3410000000000002</v>
      </c>
      <c r="L301" s="2">
        <v>7.3659999999999997</v>
      </c>
      <c r="M301" s="2">
        <v>3</v>
      </c>
      <c r="N301" s="2" t="s">
        <v>335</v>
      </c>
    </row>
    <row r="302" spans="1:14" x14ac:dyDescent="0.3">
      <c r="A302" s="2" t="s">
        <v>14</v>
      </c>
      <c r="B302" s="2" t="s">
        <v>15</v>
      </c>
      <c r="C302" s="2" t="s">
        <v>16</v>
      </c>
      <c r="D302" s="2" t="str">
        <f>("078251")</f>
        <v>078251</v>
      </c>
      <c r="E302" s="2" t="str">
        <f>("622454782518")</f>
        <v>622454782518</v>
      </c>
      <c r="G302" s="2" t="s">
        <v>344</v>
      </c>
      <c r="H302" s="5">
        <v>20461.77</v>
      </c>
      <c r="I302" s="2" t="s">
        <v>18</v>
      </c>
      <c r="J302" s="3">
        <v>43013</v>
      </c>
      <c r="K302" s="2">
        <v>3.8820000000000001</v>
      </c>
      <c r="L302" s="2">
        <v>8.5579999999999998</v>
      </c>
      <c r="M302" s="2">
        <v>3</v>
      </c>
      <c r="N302" s="2" t="s">
        <v>335</v>
      </c>
    </row>
    <row r="303" spans="1:14" x14ac:dyDescent="0.3">
      <c r="A303" s="2" t="s">
        <v>14</v>
      </c>
      <c r="B303" s="2" t="s">
        <v>15</v>
      </c>
      <c r="C303" s="2" t="s">
        <v>16</v>
      </c>
      <c r="D303" s="2" t="str">
        <f>("078252")</f>
        <v>078252</v>
      </c>
      <c r="E303" s="2" t="str">
        <f>("622454782525")</f>
        <v>622454782525</v>
      </c>
      <c r="G303" s="2" t="s">
        <v>345</v>
      </c>
      <c r="H303" s="5">
        <v>31329.73</v>
      </c>
      <c r="I303" s="2" t="s">
        <v>18</v>
      </c>
      <c r="J303" s="3">
        <v>43013</v>
      </c>
      <c r="K303" s="2">
        <v>4.4429999999999996</v>
      </c>
      <c r="L303" s="2">
        <v>9.7949999999999999</v>
      </c>
      <c r="M303" s="2">
        <v>3</v>
      </c>
      <c r="N303" s="2" t="s">
        <v>335</v>
      </c>
    </row>
    <row r="304" spans="1:14" x14ac:dyDescent="0.3">
      <c r="A304" s="2" t="s">
        <v>14</v>
      </c>
      <c r="B304" s="2" t="s">
        <v>15</v>
      </c>
      <c r="C304" s="2" t="s">
        <v>16</v>
      </c>
      <c r="D304" s="2" t="str">
        <f>("078276")</f>
        <v>078276</v>
      </c>
      <c r="E304" s="2" t="str">
        <f>("622454782761")</f>
        <v>622454782761</v>
      </c>
      <c r="G304" s="2" t="s">
        <v>346</v>
      </c>
      <c r="H304" s="5">
        <v>311.95999999999998</v>
      </c>
      <c r="I304" s="2" t="s">
        <v>18</v>
      </c>
      <c r="J304" s="3">
        <v>43013</v>
      </c>
      <c r="K304" s="2">
        <v>7.0000000000000001E-3</v>
      </c>
      <c r="L304" s="2">
        <v>1.4999999999999999E-2</v>
      </c>
      <c r="M304" s="2">
        <v>100</v>
      </c>
      <c r="N304" s="2" t="s">
        <v>347</v>
      </c>
    </row>
    <row r="305" spans="1:14" x14ac:dyDescent="0.3">
      <c r="A305" s="2" t="s">
        <v>14</v>
      </c>
      <c r="B305" s="2" t="s">
        <v>15</v>
      </c>
      <c r="C305" s="2" t="s">
        <v>16</v>
      </c>
      <c r="D305" s="2" t="str">
        <f>("078277")</f>
        <v>078277</v>
      </c>
      <c r="E305" s="2" t="str">
        <f>("622454782778")</f>
        <v>622454782778</v>
      </c>
      <c r="G305" s="2" t="s">
        <v>348</v>
      </c>
      <c r="H305" s="5">
        <v>309.62</v>
      </c>
      <c r="I305" s="2" t="s">
        <v>18</v>
      </c>
      <c r="J305" s="3">
        <v>43013</v>
      </c>
      <c r="K305" s="2">
        <v>1.0999999999999999E-2</v>
      </c>
      <c r="L305" s="2">
        <v>2.4E-2</v>
      </c>
      <c r="M305" s="2">
        <v>100</v>
      </c>
      <c r="N305" s="2" t="s">
        <v>347</v>
      </c>
    </row>
    <row r="306" spans="1:14" x14ac:dyDescent="0.3">
      <c r="A306" s="2" t="s">
        <v>14</v>
      </c>
      <c r="B306" s="2" t="s">
        <v>15</v>
      </c>
      <c r="C306" s="2" t="s">
        <v>16</v>
      </c>
      <c r="D306" s="2" t="str">
        <f>("078278")</f>
        <v>078278</v>
      </c>
      <c r="E306" s="2" t="str">
        <f>("622454782785")</f>
        <v>622454782785</v>
      </c>
      <c r="G306" s="2" t="s">
        <v>349</v>
      </c>
      <c r="H306" s="5">
        <v>335.11</v>
      </c>
      <c r="I306" s="2" t="s">
        <v>18</v>
      </c>
      <c r="J306" s="3">
        <v>43013</v>
      </c>
      <c r="K306" s="2">
        <v>1.7000000000000001E-2</v>
      </c>
      <c r="L306" s="2">
        <v>3.6999999999999998E-2</v>
      </c>
      <c r="M306" s="2">
        <v>100</v>
      </c>
      <c r="N306" s="2" t="s">
        <v>347</v>
      </c>
    </row>
    <row r="307" spans="1:14" x14ac:dyDescent="0.3">
      <c r="A307" s="2" t="s">
        <v>14</v>
      </c>
      <c r="B307" s="2" t="s">
        <v>15</v>
      </c>
      <c r="C307" s="2" t="s">
        <v>16</v>
      </c>
      <c r="D307" s="2" t="str">
        <f>("078279")</f>
        <v>078279</v>
      </c>
      <c r="E307" s="2" t="str">
        <f>("622454782792")</f>
        <v>622454782792</v>
      </c>
      <c r="G307" s="2" t="s">
        <v>350</v>
      </c>
      <c r="H307" s="5">
        <v>358.21</v>
      </c>
      <c r="I307" s="2" t="s">
        <v>18</v>
      </c>
      <c r="J307" s="3">
        <v>43013</v>
      </c>
      <c r="K307" s="2">
        <v>2.5999999999999999E-2</v>
      </c>
      <c r="L307" s="2">
        <v>5.7000000000000002E-2</v>
      </c>
      <c r="M307" s="2">
        <v>50</v>
      </c>
      <c r="N307" s="2" t="s">
        <v>347</v>
      </c>
    </row>
    <row r="308" spans="1:14" x14ac:dyDescent="0.3">
      <c r="A308" s="2" t="s">
        <v>14</v>
      </c>
      <c r="B308" s="2" t="s">
        <v>15</v>
      </c>
      <c r="C308" s="2" t="s">
        <v>16</v>
      </c>
      <c r="D308" s="2" t="str">
        <f>("078280")</f>
        <v>078280</v>
      </c>
      <c r="E308" s="2" t="str">
        <f>("622454782808")</f>
        <v>622454782808</v>
      </c>
      <c r="G308" s="2" t="s">
        <v>351</v>
      </c>
      <c r="H308" s="5">
        <v>365.94</v>
      </c>
      <c r="I308" s="2" t="s">
        <v>18</v>
      </c>
      <c r="J308" s="3">
        <v>43013</v>
      </c>
      <c r="K308" s="2">
        <v>3.2000000000000001E-2</v>
      </c>
      <c r="L308" s="2">
        <v>7.0999999999999994E-2</v>
      </c>
      <c r="M308" s="2">
        <v>50</v>
      </c>
      <c r="N308" s="2" t="s">
        <v>347</v>
      </c>
    </row>
    <row r="309" spans="1:14" x14ac:dyDescent="0.3">
      <c r="A309" s="2" t="s">
        <v>14</v>
      </c>
      <c r="B309" s="2" t="s">
        <v>15</v>
      </c>
      <c r="C309" s="2" t="s">
        <v>16</v>
      </c>
      <c r="D309" s="2" t="str">
        <f>("078281")</f>
        <v>078281</v>
      </c>
      <c r="E309" s="2" t="str">
        <f>("622454782815")</f>
        <v>622454782815</v>
      </c>
      <c r="G309" s="2" t="s">
        <v>352</v>
      </c>
      <c r="H309" s="5">
        <v>401.43</v>
      </c>
      <c r="I309" s="2" t="s">
        <v>18</v>
      </c>
      <c r="J309" s="3">
        <v>43013</v>
      </c>
      <c r="K309" s="2">
        <v>5.2999999999999999E-2</v>
      </c>
      <c r="L309" s="2">
        <v>0.11700000000000001</v>
      </c>
      <c r="M309" s="2">
        <v>25</v>
      </c>
      <c r="N309" s="2" t="s">
        <v>347</v>
      </c>
    </row>
    <row r="310" spans="1:14" x14ac:dyDescent="0.3">
      <c r="A310" s="2" t="s">
        <v>14</v>
      </c>
      <c r="B310" s="2" t="s">
        <v>15</v>
      </c>
      <c r="C310" s="2" t="s">
        <v>16</v>
      </c>
      <c r="D310" s="2" t="str">
        <f>("078282")</f>
        <v>078282</v>
      </c>
      <c r="E310" s="2" t="str">
        <f>("622454782822")</f>
        <v>622454782822</v>
      </c>
      <c r="G310" s="2" t="s">
        <v>353</v>
      </c>
      <c r="H310" s="5">
        <v>1662.76</v>
      </c>
      <c r="I310" s="2" t="s">
        <v>18</v>
      </c>
      <c r="J310" s="3">
        <v>43013</v>
      </c>
      <c r="K310" s="2">
        <v>0.1</v>
      </c>
      <c r="L310" s="2">
        <v>0.22</v>
      </c>
      <c r="M310" s="2">
        <v>10</v>
      </c>
      <c r="N310" s="2" t="s">
        <v>347</v>
      </c>
    </row>
    <row r="311" spans="1:14" x14ac:dyDescent="0.3">
      <c r="A311" s="2" t="s">
        <v>14</v>
      </c>
      <c r="B311" s="2" t="s">
        <v>15</v>
      </c>
      <c r="C311" s="2" t="s">
        <v>16</v>
      </c>
      <c r="D311" s="2" t="str">
        <f>("078283")</f>
        <v>078283</v>
      </c>
      <c r="E311" s="2" t="str">
        <f>("622454782839")</f>
        <v>622454782839</v>
      </c>
      <c r="G311" s="2" t="s">
        <v>354</v>
      </c>
      <c r="H311" s="5">
        <v>1670.82</v>
      </c>
      <c r="I311" s="2" t="s">
        <v>18</v>
      </c>
      <c r="J311" s="3">
        <v>43013</v>
      </c>
      <c r="K311" s="2">
        <v>0.14099999999999999</v>
      </c>
      <c r="L311" s="2">
        <v>0.311</v>
      </c>
      <c r="M311" s="2">
        <v>20</v>
      </c>
      <c r="N311" s="2" t="s">
        <v>347</v>
      </c>
    </row>
    <row r="312" spans="1:14" x14ac:dyDescent="0.3">
      <c r="A312" s="2" t="s">
        <v>14</v>
      </c>
      <c r="B312" s="2" t="s">
        <v>15</v>
      </c>
      <c r="C312" s="2" t="s">
        <v>16</v>
      </c>
      <c r="D312" s="2" t="str">
        <f>("078284")</f>
        <v>078284</v>
      </c>
      <c r="E312" s="2" t="str">
        <f>("622454782846")</f>
        <v>622454782846</v>
      </c>
      <c r="G312" s="2" t="s">
        <v>355</v>
      </c>
      <c r="H312" s="5">
        <v>1834.2</v>
      </c>
      <c r="I312" s="2" t="s">
        <v>18</v>
      </c>
      <c r="J312" s="3">
        <v>43013</v>
      </c>
      <c r="K312" s="2">
        <v>0.16400000000000001</v>
      </c>
      <c r="L312" s="2">
        <v>0.36199999999999999</v>
      </c>
      <c r="M312" s="2">
        <v>10</v>
      </c>
      <c r="N312" s="2" t="s">
        <v>347</v>
      </c>
    </row>
    <row r="313" spans="1:14" x14ac:dyDescent="0.3">
      <c r="A313" s="2" t="s">
        <v>14</v>
      </c>
      <c r="B313" s="2" t="s">
        <v>15</v>
      </c>
      <c r="C313" s="2" t="s">
        <v>16</v>
      </c>
      <c r="D313" s="2" t="str">
        <f>("078285")</f>
        <v>078285</v>
      </c>
      <c r="E313" s="2" t="str">
        <f>("622454782853")</f>
        <v>622454782853</v>
      </c>
      <c r="G313" s="2" t="s">
        <v>356</v>
      </c>
      <c r="H313" s="5">
        <v>1923.95</v>
      </c>
      <c r="I313" s="2" t="s">
        <v>18</v>
      </c>
      <c r="J313" s="3">
        <v>43013</v>
      </c>
      <c r="K313" s="2">
        <v>0.215</v>
      </c>
      <c r="L313" s="2">
        <v>0.47399999999999998</v>
      </c>
      <c r="M313" s="2">
        <v>10</v>
      </c>
      <c r="N313" s="2" t="s">
        <v>347</v>
      </c>
    </row>
    <row r="314" spans="1:14" x14ac:dyDescent="0.3">
      <c r="A314" s="2" t="s">
        <v>14</v>
      </c>
      <c r="B314" s="2" t="s">
        <v>15</v>
      </c>
      <c r="C314" s="2" t="s">
        <v>16</v>
      </c>
      <c r="D314" s="2" t="str">
        <f>("078414")</f>
        <v>078414</v>
      </c>
      <c r="E314" s="2" t="str">
        <f>("622454784147")</f>
        <v>622454784147</v>
      </c>
      <c r="G314" s="2" t="s">
        <v>357</v>
      </c>
      <c r="H314" s="5">
        <v>3277.87</v>
      </c>
      <c r="I314" s="2" t="s">
        <v>18</v>
      </c>
      <c r="J314" s="3">
        <v>43013</v>
      </c>
      <c r="K314" s="2">
        <v>0.24399999999999999</v>
      </c>
      <c r="L314" s="2">
        <v>0.53800000000000003</v>
      </c>
      <c r="M314" s="2">
        <v>15</v>
      </c>
      <c r="N314" s="2" t="s">
        <v>358</v>
      </c>
    </row>
    <row r="315" spans="1:14" x14ac:dyDescent="0.3">
      <c r="A315" s="2" t="s">
        <v>14</v>
      </c>
      <c r="B315" s="2" t="s">
        <v>15</v>
      </c>
      <c r="C315" s="2" t="s">
        <v>16</v>
      </c>
      <c r="D315" s="2" t="str">
        <f>("078415")</f>
        <v>078415</v>
      </c>
      <c r="E315" s="2" t="str">
        <f>("622454784154")</f>
        <v>622454784154</v>
      </c>
      <c r="G315" s="2" t="s">
        <v>359</v>
      </c>
      <c r="H315" s="5">
        <v>3356.66</v>
      </c>
      <c r="I315" s="2" t="s">
        <v>18</v>
      </c>
      <c r="J315" s="3">
        <v>43013</v>
      </c>
      <c r="K315" s="2">
        <v>0.28000000000000003</v>
      </c>
      <c r="L315" s="2">
        <v>0.61699999999999999</v>
      </c>
      <c r="M315" s="2">
        <v>12</v>
      </c>
      <c r="N315" s="2" t="s">
        <v>358</v>
      </c>
    </row>
    <row r="316" spans="1:14" x14ac:dyDescent="0.3">
      <c r="A316" s="2" t="s">
        <v>14</v>
      </c>
      <c r="B316" s="2" t="s">
        <v>15</v>
      </c>
      <c r="C316" s="2" t="s">
        <v>16</v>
      </c>
      <c r="D316" s="2" t="str">
        <f>("077989")</f>
        <v>077989</v>
      </c>
      <c r="E316" s="2" t="str">
        <f>("622454779891")</f>
        <v>622454779891</v>
      </c>
      <c r="G316" s="2" t="s">
        <v>360</v>
      </c>
      <c r="H316" s="5">
        <v>1220.75</v>
      </c>
      <c r="I316" s="2" t="s">
        <v>18</v>
      </c>
      <c r="J316" s="3">
        <v>43013</v>
      </c>
      <c r="K316" s="2">
        <v>5.5E-2</v>
      </c>
      <c r="L316" s="2">
        <v>0.121</v>
      </c>
      <c r="M316" s="2">
        <v>20</v>
      </c>
      <c r="N316" s="2" t="s">
        <v>358</v>
      </c>
    </row>
    <row r="317" spans="1:14" x14ac:dyDescent="0.3">
      <c r="A317" s="2" t="s">
        <v>14</v>
      </c>
      <c r="B317" s="2" t="s">
        <v>15</v>
      </c>
      <c r="C317" s="2" t="s">
        <v>16</v>
      </c>
      <c r="D317" s="2" t="str">
        <f>("077990")</f>
        <v>077990</v>
      </c>
      <c r="E317" s="2" t="str">
        <f>("622454779907")</f>
        <v>622454779907</v>
      </c>
      <c r="G317" s="2" t="s">
        <v>361</v>
      </c>
      <c r="H317" s="5">
        <v>1428.67</v>
      </c>
      <c r="I317" s="2" t="s">
        <v>18</v>
      </c>
      <c r="J317" s="3">
        <v>43013</v>
      </c>
      <c r="K317" s="2">
        <v>0.1</v>
      </c>
      <c r="L317" s="2">
        <v>0.22</v>
      </c>
      <c r="M317" s="2">
        <v>20</v>
      </c>
      <c r="N317" s="2" t="s">
        <v>358</v>
      </c>
    </row>
    <row r="318" spans="1:14" x14ac:dyDescent="0.3">
      <c r="A318" s="2" t="s">
        <v>14</v>
      </c>
      <c r="B318" s="2" t="s">
        <v>15</v>
      </c>
      <c r="C318" s="2" t="s">
        <v>16</v>
      </c>
      <c r="D318" s="2" t="str">
        <f>("077250")</f>
        <v>077250</v>
      </c>
      <c r="E318" s="2" t="str">
        <f>("622454772502")</f>
        <v>622454772502</v>
      </c>
      <c r="G318" s="2" t="s">
        <v>362</v>
      </c>
      <c r="H318" s="5">
        <v>4001.61</v>
      </c>
      <c r="I318" s="2" t="s">
        <v>18</v>
      </c>
      <c r="J318" s="3">
        <v>43013</v>
      </c>
      <c r="K318" s="2">
        <v>0.316</v>
      </c>
      <c r="L318" s="2">
        <v>0.69699999999999995</v>
      </c>
      <c r="M318" s="2">
        <v>15</v>
      </c>
      <c r="N318" s="2" t="s">
        <v>363</v>
      </c>
    </row>
    <row r="319" spans="1:14" x14ac:dyDescent="0.3">
      <c r="A319" s="2" t="s">
        <v>14</v>
      </c>
      <c r="B319" s="2" t="s">
        <v>15</v>
      </c>
      <c r="C319" s="2" t="s">
        <v>16</v>
      </c>
      <c r="D319" s="2" t="str">
        <f>("077251")</f>
        <v>077251</v>
      </c>
      <c r="E319" s="2" t="str">
        <f>("622454772519")</f>
        <v>622454772519</v>
      </c>
      <c r="G319" s="2" t="s">
        <v>364</v>
      </c>
      <c r="H319" s="5">
        <v>4165.71</v>
      </c>
      <c r="I319" s="2" t="s">
        <v>18</v>
      </c>
      <c r="J319" s="3">
        <v>43013</v>
      </c>
      <c r="K319" s="2">
        <v>0.316</v>
      </c>
      <c r="L319" s="2">
        <v>0.69699999999999995</v>
      </c>
      <c r="M319" s="2">
        <v>15</v>
      </c>
      <c r="N319" s="2" t="s">
        <v>363</v>
      </c>
    </row>
    <row r="320" spans="1:14" x14ac:dyDescent="0.3">
      <c r="A320" s="2" t="s">
        <v>14</v>
      </c>
      <c r="B320" s="2" t="s">
        <v>15</v>
      </c>
      <c r="C320" s="2" t="s">
        <v>16</v>
      </c>
      <c r="D320" s="2" t="str">
        <f>("278300")</f>
        <v>278300</v>
      </c>
      <c r="E320" s="2" t="str">
        <f>("622454418745")</f>
        <v>622454418745</v>
      </c>
      <c r="G320" s="2" t="s">
        <v>365</v>
      </c>
      <c r="H320" s="5">
        <v>3408.62</v>
      </c>
      <c r="I320" s="2" t="s">
        <v>18</v>
      </c>
      <c r="J320" s="3">
        <v>43013</v>
      </c>
      <c r="K320" s="2">
        <v>0.36</v>
      </c>
      <c r="L320" s="2">
        <v>0.79400000000000004</v>
      </c>
      <c r="M320" s="2">
        <v>12</v>
      </c>
      <c r="N320" s="2" t="s">
        <v>366</v>
      </c>
    </row>
    <row r="321" spans="1:14" x14ac:dyDescent="0.3">
      <c r="A321" s="2" t="s">
        <v>14</v>
      </c>
      <c r="B321" s="2" t="s">
        <v>15</v>
      </c>
      <c r="C321" s="2" t="s">
        <v>16</v>
      </c>
      <c r="D321" s="2" t="str">
        <f>("278301")</f>
        <v>278301</v>
      </c>
      <c r="E321" s="2" t="str">
        <f>("622454418769")</f>
        <v>622454418769</v>
      </c>
      <c r="G321" s="2" t="s">
        <v>367</v>
      </c>
      <c r="H321" s="5">
        <v>5622.84</v>
      </c>
      <c r="I321" s="2" t="s">
        <v>18</v>
      </c>
      <c r="J321" s="3">
        <v>43013</v>
      </c>
      <c r="K321" s="2">
        <v>0.48599999999999999</v>
      </c>
      <c r="L321" s="2">
        <v>1.071</v>
      </c>
      <c r="M321" s="2">
        <v>12</v>
      </c>
      <c r="N321" s="2" t="s">
        <v>366</v>
      </c>
    </row>
    <row r="322" spans="1:14" x14ac:dyDescent="0.3">
      <c r="A322" s="2" t="s">
        <v>14</v>
      </c>
      <c r="B322" s="2" t="s">
        <v>15</v>
      </c>
      <c r="C322" s="2" t="s">
        <v>16</v>
      </c>
      <c r="D322" s="2" t="str">
        <f>("278302")</f>
        <v>278302</v>
      </c>
      <c r="E322" s="2" t="str">
        <f>("622454418752")</f>
        <v>622454418752</v>
      </c>
      <c r="G322" s="2" t="s">
        <v>368</v>
      </c>
      <c r="H322" s="5">
        <v>6752.69</v>
      </c>
      <c r="I322" s="2" t="s">
        <v>18</v>
      </c>
      <c r="J322" s="3">
        <v>43013</v>
      </c>
      <c r="K322" s="2">
        <v>0.502</v>
      </c>
      <c r="L322" s="2">
        <v>1.107</v>
      </c>
      <c r="M322" s="2">
        <v>10</v>
      </c>
      <c r="N322" s="2" t="s">
        <v>366</v>
      </c>
    </row>
    <row r="323" spans="1:14" x14ac:dyDescent="0.3">
      <c r="A323" s="2" t="s">
        <v>14</v>
      </c>
      <c r="B323" s="2" t="s">
        <v>15</v>
      </c>
      <c r="C323" s="2" t="s">
        <v>16</v>
      </c>
      <c r="D323" s="2" t="str">
        <f>("278303")</f>
        <v>278303</v>
      </c>
      <c r="E323" s="2" t="str">
        <f>("622454419124")</f>
        <v>622454419124</v>
      </c>
      <c r="G323" s="2" t="s">
        <v>369</v>
      </c>
      <c r="H323" s="5">
        <v>6818</v>
      </c>
      <c r="I323" s="2" t="s">
        <v>18</v>
      </c>
      <c r="J323" s="3">
        <v>43013</v>
      </c>
      <c r="K323" s="2">
        <v>0.54400000000000004</v>
      </c>
      <c r="L323" s="2">
        <v>1.1990000000000001</v>
      </c>
      <c r="M323" s="2">
        <v>3</v>
      </c>
      <c r="N323" s="2" t="s">
        <v>366</v>
      </c>
    </row>
    <row r="324" spans="1:14" x14ac:dyDescent="0.3">
      <c r="A324" s="2" t="s">
        <v>14</v>
      </c>
      <c r="B324" s="2" t="s">
        <v>15</v>
      </c>
      <c r="C324" s="2" t="s">
        <v>16</v>
      </c>
      <c r="D324" s="2" t="str">
        <f>("278304")</f>
        <v>278304</v>
      </c>
      <c r="E324" s="2" t="str">
        <f>("622454418943")</f>
        <v>622454418943</v>
      </c>
      <c r="G324" s="2" t="s">
        <v>370</v>
      </c>
      <c r="H324" s="5">
        <v>6883.36</v>
      </c>
      <c r="I324" s="2" t="s">
        <v>18</v>
      </c>
      <c r="J324" s="3">
        <v>43013</v>
      </c>
      <c r="K324" s="2">
        <v>1.26</v>
      </c>
      <c r="L324" s="2">
        <v>2.778</v>
      </c>
      <c r="M324" s="2">
        <v>5</v>
      </c>
      <c r="N324" s="2" t="s">
        <v>366</v>
      </c>
    </row>
    <row r="325" spans="1:14" x14ac:dyDescent="0.3">
      <c r="A325" s="2" t="s">
        <v>14</v>
      </c>
      <c r="B325" s="2" t="s">
        <v>15</v>
      </c>
      <c r="C325" s="2" t="s">
        <v>16</v>
      </c>
      <c r="D325" s="2" t="str">
        <f>("278305")</f>
        <v>278305</v>
      </c>
      <c r="E325" s="2" t="str">
        <f>("622454418899")</f>
        <v>622454418899</v>
      </c>
      <c r="G325" s="2" t="s">
        <v>371</v>
      </c>
      <c r="H325" s="5">
        <v>8032.1</v>
      </c>
      <c r="I325" s="2" t="s">
        <v>18</v>
      </c>
      <c r="J325" s="3">
        <v>43013</v>
      </c>
      <c r="K325" s="2">
        <v>1.425</v>
      </c>
      <c r="L325" s="2">
        <v>3.1419999999999999</v>
      </c>
      <c r="M325" s="2">
        <v>4</v>
      </c>
      <c r="N325" s="2" t="s">
        <v>366</v>
      </c>
    </row>
    <row r="326" spans="1:14" x14ac:dyDescent="0.3">
      <c r="A326" s="2" t="s">
        <v>14</v>
      </c>
      <c r="B326" s="2" t="s">
        <v>15</v>
      </c>
      <c r="C326" s="2" t="s">
        <v>16</v>
      </c>
      <c r="D326" s="2" t="str">
        <f>("278306")</f>
        <v>278306</v>
      </c>
      <c r="E326" s="2" t="str">
        <f>("622454418936")</f>
        <v>622454418936</v>
      </c>
      <c r="G326" s="2" t="s">
        <v>372</v>
      </c>
      <c r="H326" s="5">
        <v>12986.52</v>
      </c>
      <c r="I326" s="2" t="s">
        <v>18</v>
      </c>
      <c r="J326" s="3">
        <v>43013</v>
      </c>
      <c r="K326" s="2">
        <v>1.798</v>
      </c>
      <c r="L326" s="2">
        <v>3.964</v>
      </c>
      <c r="M326" s="2">
        <v>6</v>
      </c>
      <c r="N326" s="2" t="s">
        <v>366</v>
      </c>
    </row>
    <row r="327" spans="1:14" x14ac:dyDescent="0.3">
      <c r="A327" s="2" t="s">
        <v>14</v>
      </c>
      <c r="B327" s="2" t="s">
        <v>15</v>
      </c>
      <c r="C327" s="2" t="s">
        <v>16</v>
      </c>
      <c r="D327" s="2" t="str">
        <f>("278307")</f>
        <v>278307</v>
      </c>
      <c r="E327" s="2" t="str">
        <f>("622454418929")</f>
        <v>622454418929</v>
      </c>
      <c r="G327" s="2" t="s">
        <v>373</v>
      </c>
      <c r="H327" s="5">
        <v>19424.73</v>
      </c>
      <c r="I327" s="2" t="s">
        <v>18</v>
      </c>
      <c r="J327" s="3">
        <v>43013</v>
      </c>
      <c r="K327" s="2">
        <v>2.2290000000000001</v>
      </c>
      <c r="L327" s="2">
        <v>4.9139999999999997</v>
      </c>
      <c r="M327" s="2">
        <v>4</v>
      </c>
      <c r="N327" s="2" t="s">
        <v>366</v>
      </c>
    </row>
    <row r="328" spans="1:14" x14ac:dyDescent="0.3">
      <c r="A328" s="2" t="s">
        <v>14</v>
      </c>
      <c r="B328" s="2" t="s">
        <v>15</v>
      </c>
      <c r="C328" s="2" t="s">
        <v>16</v>
      </c>
      <c r="D328" s="2" t="str">
        <f>("278308")</f>
        <v>278308</v>
      </c>
      <c r="E328" s="2" t="str">
        <f>("622454418837")</f>
        <v>622454418837</v>
      </c>
      <c r="G328" s="2" t="s">
        <v>374</v>
      </c>
      <c r="H328" s="5">
        <v>19941.62</v>
      </c>
      <c r="I328" s="2" t="s">
        <v>18</v>
      </c>
      <c r="J328" s="3">
        <v>43013</v>
      </c>
      <c r="K328" s="2">
        <v>3.0390000000000001</v>
      </c>
      <c r="L328" s="2">
        <v>6.7</v>
      </c>
      <c r="M328" s="2">
        <v>2</v>
      </c>
      <c r="N328" s="2" t="s">
        <v>366</v>
      </c>
    </row>
    <row r="329" spans="1:14" x14ac:dyDescent="0.3">
      <c r="A329" s="2" t="s">
        <v>14</v>
      </c>
      <c r="B329" s="2" t="s">
        <v>15</v>
      </c>
      <c r="C329" s="2" t="s">
        <v>16</v>
      </c>
      <c r="D329" s="2" t="str">
        <f>("278309")</f>
        <v>278309</v>
      </c>
      <c r="E329" s="2" t="str">
        <f>("622454418868")</f>
        <v>622454418868</v>
      </c>
      <c r="G329" s="2" t="s">
        <v>375</v>
      </c>
      <c r="H329" s="5">
        <v>20461.77</v>
      </c>
      <c r="I329" s="2" t="s">
        <v>18</v>
      </c>
      <c r="J329" s="3">
        <v>43013</v>
      </c>
      <c r="K329" s="2">
        <v>3.6539999999999999</v>
      </c>
      <c r="L329" s="2">
        <v>8.0559999999999992</v>
      </c>
      <c r="M329" s="2">
        <v>4</v>
      </c>
      <c r="N329" s="2" t="s">
        <v>366</v>
      </c>
    </row>
    <row r="330" spans="1:14" x14ac:dyDescent="0.3">
      <c r="A330" s="2" t="s">
        <v>14</v>
      </c>
      <c r="B330" s="2" t="s">
        <v>15</v>
      </c>
      <c r="C330" s="2" t="s">
        <v>16</v>
      </c>
      <c r="D330" s="2" t="str">
        <f>("278310")</f>
        <v>278310</v>
      </c>
      <c r="E330" s="2" t="str">
        <f>("622454418790")</f>
        <v>622454418790</v>
      </c>
      <c r="G330" s="2" t="s">
        <v>376</v>
      </c>
      <c r="H330" s="5">
        <v>31329.73</v>
      </c>
      <c r="I330" s="2" t="s">
        <v>18</v>
      </c>
      <c r="J330" s="3">
        <v>43013</v>
      </c>
      <c r="K330" s="2">
        <v>4.0389999999999997</v>
      </c>
      <c r="L330" s="2">
        <v>8.9039999999999999</v>
      </c>
      <c r="M330" s="2">
        <v>3</v>
      </c>
      <c r="N330" s="2" t="s">
        <v>366</v>
      </c>
    </row>
    <row r="331" spans="1:14" x14ac:dyDescent="0.3">
      <c r="A331" s="2" t="s">
        <v>14</v>
      </c>
      <c r="B331" s="2" t="s">
        <v>15</v>
      </c>
      <c r="C331" s="2" t="s">
        <v>16</v>
      </c>
      <c r="D331" s="2" t="str">
        <f>("278311")</f>
        <v>278311</v>
      </c>
      <c r="E331" s="2" t="str">
        <f>("622454419902")</f>
        <v>622454419902</v>
      </c>
      <c r="G331" s="2" t="s">
        <v>377</v>
      </c>
      <c r="H331" s="5">
        <v>14040</v>
      </c>
      <c r="I331" s="2" t="s">
        <v>18</v>
      </c>
      <c r="J331" s="3">
        <v>43013</v>
      </c>
      <c r="K331" s="2">
        <v>6.1079999999999997</v>
      </c>
      <c r="L331" s="2">
        <v>13.465999999999999</v>
      </c>
      <c r="M331" s="2">
        <v>1</v>
      </c>
      <c r="N331" s="2" t="s">
        <v>378</v>
      </c>
    </row>
    <row r="332" spans="1:14" x14ac:dyDescent="0.3">
      <c r="A332" s="2" t="s">
        <v>14</v>
      </c>
      <c r="B332" s="2" t="s">
        <v>15</v>
      </c>
      <c r="C332" s="2" t="s">
        <v>16</v>
      </c>
      <c r="D332" s="2" t="str">
        <f>("278312")</f>
        <v>278312</v>
      </c>
      <c r="E332" s="2" t="str">
        <f>("622454419896")</f>
        <v>622454419896</v>
      </c>
      <c r="G332" s="2" t="s">
        <v>379</v>
      </c>
      <c r="H332" s="5">
        <v>15300</v>
      </c>
      <c r="I332" s="2" t="s">
        <v>18</v>
      </c>
      <c r="J332" s="3">
        <v>43013</v>
      </c>
      <c r="K332" s="2">
        <v>7.1779999999999999</v>
      </c>
      <c r="L332" s="2">
        <v>15.824999999999999</v>
      </c>
      <c r="M332" s="2">
        <v>1</v>
      </c>
      <c r="N332" s="2" t="s">
        <v>378</v>
      </c>
    </row>
    <row r="333" spans="1:14" x14ac:dyDescent="0.3">
      <c r="A333" s="2" t="s">
        <v>14</v>
      </c>
      <c r="B333" s="2" t="s">
        <v>15</v>
      </c>
      <c r="C333" s="2" t="s">
        <v>16</v>
      </c>
      <c r="D333" s="2" t="str">
        <f>("278313")</f>
        <v>278313</v>
      </c>
      <c r="E333" s="2" t="str">
        <f>("622454419872")</f>
        <v>622454419872</v>
      </c>
      <c r="G333" s="2" t="s">
        <v>380</v>
      </c>
      <c r="H333" s="5">
        <v>16430</v>
      </c>
      <c r="I333" s="2" t="s">
        <v>18</v>
      </c>
      <c r="J333" s="3">
        <v>43013</v>
      </c>
      <c r="K333" s="2">
        <v>8.1630000000000003</v>
      </c>
      <c r="L333" s="2">
        <v>17.995999999999999</v>
      </c>
      <c r="M333" s="2">
        <v>1</v>
      </c>
      <c r="N333" s="2" t="s">
        <v>378</v>
      </c>
    </row>
    <row r="334" spans="1:14" x14ac:dyDescent="0.3">
      <c r="A334" s="2" t="s">
        <v>14</v>
      </c>
      <c r="B334" s="2" t="s">
        <v>15</v>
      </c>
      <c r="C334" s="2" t="s">
        <v>16</v>
      </c>
      <c r="D334" s="2" t="str">
        <f>("077940")</f>
        <v>077940</v>
      </c>
      <c r="E334" s="2" t="str">
        <f>("622454426689")</f>
        <v>622454426689</v>
      </c>
      <c r="G334" s="2" t="s">
        <v>381</v>
      </c>
      <c r="H334" s="5">
        <v>3204</v>
      </c>
      <c r="I334" s="2" t="s">
        <v>18</v>
      </c>
      <c r="J334" s="3">
        <v>43013</v>
      </c>
      <c r="K334" s="2">
        <v>0.5</v>
      </c>
      <c r="L334" s="2">
        <v>1.1020000000000001</v>
      </c>
      <c r="M334" s="2">
        <v>10</v>
      </c>
      <c r="N334" s="2" t="s">
        <v>382</v>
      </c>
    </row>
    <row r="335" spans="1:14" x14ac:dyDescent="0.3">
      <c r="A335" s="2" t="s">
        <v>14</v>
      </c>
      <c r="B335" s="2" t="s">
        <v>15</v>
      </c>
      <c r="C335" s="2" t="s">
        <v>16</v>
      </c>
      <c r="D335" s="2" t="str">
        <f>("077946")</f>
        <v>077946</v>
      </c>
      <c r="E335" s="2" t="str">
        <f>("622454796331")</f>
        <v>622454796331</v>
      </c>
      <c r="G335" s="2" t="s">
        <v>383</v>
      </c>
      <c r="H335" s="5">
        <v>5200</v>
      </c>
      <c r="I335" s="2" t="s">
        <v>18</v>
      </c>
      <c r="J335" s="3">
        <v>43013</v>
      </c>
      <c r="K335" s="2">
        <v>0.7</v>
      </c>
      <c r="L335" s="2">
        <v>1.5429999999999999</v>
      </c>
      <c r="M335" s="2">
        <v>10</v>
      </c>
      <c r="N335" s="2" t="s">
        <v>384</v>
      </c>
    </row>
    <row r="336" spans="1:14" x14ac:dyDescent="0.3">
      <c r="A336" s="2" t="s">
        <v>14</v>
      </c>
      <c r="B336" s="2" t="s">
        <v>15</v>
      </c>
      <c r="C336" s="2" t="s">
        <v>16</v>
      </c>
      <c r="D336" s="2" t="str">
        <f>("277086")</f>
        <v>277086</v>
      </c>
      <c r="E336" s="2" t="str">
        <f>("622454831636")</f>
        <v>622454831636</v>
      </c>
      <c r="G336" s="2" t="s">
        <v>385</v>
      </c>
      <c r="H336" s="5">
        <v>8500</v>
      </c>
      <c r="I336" s="2" t="s">
        <v>18</v>
      </c>
      <c r="J336" s="3">
        <v>43013</v>
      </c>
      <c r="K336" s="2">
        <v>1.7150000000000001</v>
      </c>
      <c r="L336" s="2">
        <v>3.7810000000000001</v>
      </c>
      <c r="M336" s="2">
        <v>8</v>
      </c>
      <c r="N336" s="2" t="s">
        <v>384</v>
      </c>
    </row>
    <row r="337" spans="1:14" x14ac:dyDescent="0.3">
      <c r="A337" s="2" t="s">
        <v>14</v>
      </c>
      <c r="B337" s="2" t="s">
        <v>15</v>
      </c>
      <c r="C337" s="2" t="s">
        <v>16</v>
      </c>
      <c r="D337" s="2" t="str">
        <f>("077864")</f>
        <v>077864</v>
      </c>
      <c r="E337" s="2" t="str">
        <f>("622454380226")</f>
        <v>622454380226</v>
      </c>
      <c r="G337" s="2" t="s">
        <v>386</v>
      </c>
      <c r="H337" s="5">
        <v>700</v>
      </c>
      <c r="I337" s="2" t="s">
        <v>18</v>
      </c>
      <c r="J337" s="3">
        <v>43013</v>
      </c>
      <c r="K337" s="2">
        <v>0.68</v>
      </c>
      <c r="L337" s="2">
        <v>1.4990000000000001</v>
      </c>
      <c r="M337" s="2">
        <v>15</v>
      </c>
      <c r="N337" s="2" t="s">
        <v>382</v>
      </c>
    </row>
    <row r="338" spans="1:14" x14ac:dyDescent="0.3">
      <c r="A338" s="2" t="s">
        <v>14</v>
      </c>
      <c r="B338" s="2" t="s">
        <v>15</v>
      </c>
      <c r="C338" s="2" t="s">
        <v>16</v>
      </c>
      <c r="D338" s="2" t="str">
        <f>("077861")</f>
        <v>077861</v>
      </c>
      <c r="E338" s="2" t="str">
        <f>("622454451902")</f>
        <v>622454451902</v>
      </c>
      <c r="G338" s="2" t="s">
        <v>387</v>
      </c>
      <c r="H338" s="5">
        <v>988</v>
      </c>
      <c r="I338" s="2" t="s">
        <v>18</v>
      </c>
      <c r="J338" s="3">
        <v>43013</v>
      </c>
      <c r="K338" s="2">
        <v>0.78900000000000003</v>
      </c>
      <c r="L338" s="2">
        <v>1.7390000000000001</v>
      </c>
      <c r="M338" s="2">
        <v>13</v>
      </c>
      <c r="N338" s="2" t="s">
        <v>382</v>
      </c>
    </row>
    <row r="339" spans="1:14" x14ac:dyDescent="0.3">
      <c r="A339" s="2" t="s">
        <v>14</v>
      </c>
      <c r="B339" s="2" t="s">
        <v>15</v>
      </c>
      <c r="C339" s="2" t="s">
        <v>16</v>
      </c>
      <c r="D339" s="2" t="str">
        <f>("077862")</f>
        <v>077862</v>
      </c>
      <c r="E339" s="2" t="str">
        <f>("622454451919")</f>
        <v>622454451919</v>
      </c>
      <c r="G339" s="2" t="s">
        <v>388</v>
      </c>
      <c r="H339" s="5">
        <v>1900</v>
      </c>
      <c r="I339" s="2" t="s">
        <v>18</v>
      </c>
      <c r="J339" s="3">
        <v>43013</v>
      </c>
      <c r="K339" s="2">
        <v>1.179</v>
      </c>
      <c r="L339" s="2">
        <v>2.5990000000000002</v>
      </c>
      <c r="M339" s="2">
        <v>4</v>
      </c>
      <c r="N339" s="2" t="s">
        <v>382</v>
      </c>
    </row>
    <row r="340" spans="1:14" x14ac:dyDescent="0.3">
      <c r="A340" s="2" t="s">
        <v>14</v>
      </c>
      <c r="B340" s="2" t="s">
        <v>15</v>
      </c>
      <c r="C340" s="2" t="s">
        <v>16</v>
      </c>
      <c r="D340" s="2" t="str">
        <f>("077865")</f>
        <v>077865</v>
      </c>
      <c r="E340" s="2" t="str">
        <f>("622454451926")</f>
        <v>622454451926</v>
      </c>
      <c r="G340" s="2" t="s">
        <v>389</v>
      </c>
      <c r="H340" s="5">
        <v>1505</v>
      </c>
      <c r="I340" s="2" t="s">
        <v>18</v>
      </c>
      <c r="J340" s="3">
        <v>43013</v>
      </c>
      <c r="K340" s="2">
        <v>1.417</v>
      </c>
      <c r="L340" s="2">
        <v>3.1240000000000001</v>
      </c>
      <c r="M340" s="2">
        <v>8</v>
      </c>
      <c r="N340" s="2" t="s">
        <v>382</v>
      </c>
    </row>
    <row r="341" spans="1:14" x14ac:dyDescent="0.3">
      <c r="A341" s="2" t="s">
        <v>14</v>
      </c>
      <c r="B341" s="2" t="s">
        <v>15</v>
      </c>
      <c r="C341" s="2" t="s">
        <v>16</v>
      </c>
      <c r="D341" s="2" t="str">
        <f>("077867")</f>
        <v>077867</v>
      </c>
      <c r="E341" s="2" t="str">
        <f>("622454451933")</f>
        <v>622454451933</v>
      </c>
      <c r="G341" s="2" t="s">
        <v>390</v>
      </c>
      <c r="H341" s="5">
        <v>2500</v>
      </c>
      <c r="I341" s="2" t="s">
        <v>18</v>
      </c>
      <c r="J341" s="3">
        <v>43013</v>
      </c>
      <c r="K341" s="2">
        <v>1.66</v>
      </c>
      <c r="L341" s="2">
        <v>3.66</v>
      </c>
      <c r="M341" s="2">
        <v>8</v>
      </c>
      <c r="N341" s="2" t="s">
        <v>382</v>
      </c>
    </row>
    <row r="342" spans="1:14" x14ac:dyDescent="0.3">
      <c r="A342" s="2" t="s">
        <v>14</v>
      </c>
      <c r="B342" s="2" t="s">
        <v>15</v>
      </c>
      <c r="C342" s="2" t="s">
        <v>16</v>
      </c>
      <c r="D342" s="2" t="str">
        <f>("077868")</f>
        <v>077868</v>
      </c>
      <c r="E342" s="2" t="str">
        <f>("622454451940")</f>
        <v>622454451940</v>
      </c>
      <c r="G342" s="2" t="s">
        <v>391</v>
      </c>
      <c r="H342" s="5">
        <v>3300</v>
      </c>
      <c r="I342" s="2" t="s">
        <v>18</v>
      </c>
      <c r="J342" s="3">
        <v>43013</v>
      </c>
      <c r="K342" s="2">
        <v>2.2000000000000002</v>
      </c>
      <c r="L342" s="2">
        <v>4.8499999999999996</v>
      </c>
      <c r="M342" s="2">
        <v>8</v>
      </c>
      <c r="N342" s="2" t="s">
        <v>382</v>
      </c>
    </row>
    <row r="343" spans="1:14" x14ac:dyDescent="0.3">
      <c r="A343" s="2" t="s">
        <v>14</v>
      </c>
      <c r="B343" s="2" t="s">
        <v>15</v>
      </c>
      <c r="C343" s="2" t="s">
        <v>16</v>
      </c>
      <c r="D343" s="2" t="str">
        <f>("278400")</f>
        <v>278400</v>
      </c>
      <c r="E343" s="2" t="str">
        <f>("622454418905")</f>
        <v>622454418905</v>
      </c>
      <c r="G343" s="2" t="s">
        <v>392</v>
      </c>
      <c r="H343" s="5">
        <v>7200</v>
      </c>
      <c r="I343" s="2" t="s">
        <v>18</v>
      </c>
      <c r="J343" s="3">
        <v>43013</v>
      </c>
      <c r="K343" s="2">
        <v>1.7110000000000001</v>
      </c>
      <c r="L343" s="2">
        <v>3.7719999999999998</v>
      </c>
      <c r="M343" s="2">
        <v>3</v>
      </c>
      <c r="N343" s="2" t="s">
        <v>393</v>
      </c>
    </row>
    <row r="344" spans="1:14" x14ac:dyDescent="0.3">
      <c r="A344" s="2" t="s">
        <v>14</v>
      </c>
      <c r="B344" s="2" t="s">
        <v>15</v>
      </c>
      <c r="C344" s="2" t="s">
        <v>16</v>
      </c>
      <c r="D344" s="2" t="str">
        <f>("278401")</f>
        <v>278401</v>
      </c>
      <c r="E344" s="2" t="str">
        <f>("622454419100")</f>
        <v>622454419100</v>
      </c>
      <c r="G344" s="2" t="s">
        <v>394</v>
      </c>
      <c r="H344" s="5">
        <v>8300</v>
      </c>
      <c r="I344" s="2" t="s">
        <v>18</v>
      </c>
      <c r="J344" s="3">
        <v>43013</v>
      </c>
      <c r="K344" s="2">
        <v>2.1459999999999999</v>
      </c>
      <c r="L344" s="2">
        <v>4.7309999999999999</v>
      </c>
      <c r="M344" s="2">
        <v>4</v>
      </c>
      <c r="N344" s="2" t="s">
        <v>393</v>
      </c>
    </row>
    <row r="345" spans="1:14" x14ac:dyDescent="0.3">
      <c r="A345" s="2" t="s">
        <v>14</v>
      </c>
      <c r="B345" s="2" t="s">
        <v>15</v>
      </c>
      <c r="C345" s="2" t="s">
        <v>16</v>
      </c>
      <c r="D345" s="2" t="str">
        <f>("278402")</f>
        <v>278402</v>
      </c>
      <c r="E345" s="2" t="str">
        <f>("622454421080")</f>
        <v>622454421080</v>
      </c>
      <c r="G345" s="2" t="s">
        <v>395</v>
      </c>
      <c r="H345" s="5">
        <v>9600</v>
      </c>
      <c r="I345" s="2" t="s">
        <v>18</v>
      </c>
      <c r="J345" s="3">
        <v>43013</v>
      </c>
      <c r="K345" s="2">
        <v>3.31</v>
      </c>
      <c r="L345" s="2">
        <v>7.2969999999999997</v>
      </c>
      <c r="M345" s="2">
        <v>4</v>
      </c>
      <c r="N345" s="2" t="s">
        <v>393</v>
      </c>
    </row>
    <row r="346" spans="1:14" x14ac:dyDescent="0.3">
      <c r="A346" s="2" t="s">
        <v>14</v>
      </c>
      <c r="B346" s="2" t="s">
        <v>15</v>
      </c>
      <c r="C346" s="2" t="s">
        <v>16</v>
      </c>
      <c r="D346" s="2" t="str">
        <f>("278403")</f>
        <v>278403</v>
      </c>
      <c r="E346" s="2" t="str">
        <f>("622454418813")</f>
        <v>622454418813</v>
      </c>
      <c r="G346" s="2" t="s">
        <v>396</v>
      </c>
      <c r="H346" s="5">
        <v>11700</v>
      </c>
      <c r="I346" s="2" t="s">
        <v>18</v>
      </c>
      <c r="J346" s="3">
        <v>43013</v>
      </c>
      <c r="K346" s="2">
        <v>3.1930000000000001</v>
      </c>
      <c r="L346" s="2">
        <v>7.0389999999999997</v>
      </c>
      <c r="M346" s="2">
        <v>2</v>
      </c>
      <c r="N346" s="2" t="s">
        <v>393</v>
      </c>
    </row>
    <row r="347" spans="1:14" x14ac:dyDescent="0.3">
      <c r="A347" s="2" t="s">
        <v>14</v>
      </c>
      <c r="B347" s="2" t="s">
        <v>15</v>
      </c>
      <c r="C347" s="2" t="s">
        <v>16</v>
      </c>
      <c r="D347" s="2" t="str">
        <f>("278404")</f>
        <v>278404</v>
      </c>
      <c r="E347" s="2" t="str">
        <f>("622454418844")</f>
        <v>622454418844</v>
      </c>
      <c r="G347" s="2" t="s">
        <v>397</v>
      </c>
      <c r="H347" s="5">
        <v>13310</v>
      </c>
      <c r="I347" s="2" t="s">
        <v>18</v>
      </c>
      <c r="J347" s="3">
        <v>43013</v>
      </c>
      <c r="K347" s="2">
        <v>3.746</v>
      </c>
      <c r="L347" s="2">
        <v>8.2590000000000003</v>
      </c>
      <c r="M347" s="2">
        <v>4</v>
      </c>
      <c r="N347" s="2" t="s">
        <v>393</v>
      </c>
    </row>
    <row r="348" spans="1:14" x14ac:dyDescent="0.3">
      <c r="A348" s="2" t="s">
        <v>14</v>
      </c>
      <c r="B348" s="2" t="s">
        <v>15</v>
      </c>
      <c r="C348" s="2" t="s">
        <v>16</v>
      </c>
      <c r="D348" s="2" t="str">
        <f>("278405")</f>
        <v>278405</v>
      </c>
      <c r="E348" s="2" t="str">
        <f>("622454418776")</f>
        <v>622454418776</v>
      </c>
      <c r="G348" s="2" t="s">
        <v>398</v>
      </c>
      <c r="H348" s="5">
        <v>13910</v>
      </c>
      <c r="I348" s="2" t="s">
        <v>18</v>
      </c>
      <c r="J348" s="3">
        <v>43013</v>
      </c>
      <c r="K348" s="2">
        <v>4.2990000000000004</v>
      </c>
      <c r="L348" s="2">
        <v>9.4779999999999998</v>
      </c>
      <c r="M348" s="2">
        <v>3</v>
      </c>
      <c r="N348" s="2" t="s">
        <v>393</v>
      </c>
    </row>
    <row r="349" spans="1:14" x14ac:dyDescent="0.3">
      <c r="A349" s="2" t="s">
        <v>14</v>
      </c>
      <c r="B349" s="2" t="s">
        <v>15</v>
      </c>
      <c r="C349" s="2" t="s">
        <v>16</v>
      </c>
      <c r="D349" s="2" t="str">
        <f>("278406")</f>
        <v>278406</v>
      </c>
      <c r="E349" s="2" t="str">
        <f>("622454419841")</f>
        <v>622454419841</v>
      </c>
      <c r="G349" s="2" t="s">
        <v>399</v>
      </c>
      <c r="H349" s="5">
        <v>14900</v>
      </c>
      <c r="I349" s="2" t="s">
        <v>18</v>
      </c>
      <c r="J349" s="3">
        <v>43013</v>
      </c>
      <c r="K349" s="2">
        <v>6.085</v>
      </c>
      <c r="L349" s="2">
        <v>13.414999999999999</v>
      </c>
      <c r="M349" s="2">
        <v>1</v>
      </c>
      <c r="N349" s="2" t="s">
        <v>393</v>
      </c>
    </row>
    <row r="350" spans="1:14" x14ac:dyDescent="0.3">
      <c r="A350" s="2" t="s">
        <v>14</v>
      </c>
      <c r="B350" s="2" t="s">
        <v>15</v>
      </c>
      <c r="C350" s="2" t="s">
        <v>16</v>
      </c>
      <c r="D350" s="2" t="str">
        <f>("278407")</f>
        <v>278407</v>
      </c>
      <c r="E350" s="2" t="str">
        <f>("622454419834")</f>
        <v>622454419834</v>
      </c>
      <c r="G350" s="2" t="s">
        <v>400</v>
      </c>
      <c r="H350" s="5">
        <v>16100</v>
      </c>
      <c r="I350" s="2" t="s">
        <v>18</v>
      </c>
      <c r="J350" s="3">
        <v>43013</v>
      </c>
      <c r="K350" s="2">
        <v>7.125</v>
      </c>
      <c r="L350" s="2">
        <v>15.708</v>
      </c>
      <c r="M350" s="2">
        <v>1</v>
      </c>
      <c r="N350" s="2" t="s">
        <v>393</v>
      </c>
    </row>
    <row r="351" spans="1:14" x14ac:dyDescent="0.3">
      <c r="A351" s="2" t="s">
        <v>14</v>
      </c>
      <c r="B351" s="2" t="s">
        <v>15</v>
      </c>
      <c r="C351" s="2" t="s">
        <v>16</v>
      </c>
      <c r="D351" s="2" t="str">
        <f>("278408")</f>
        <v>278408</v>
      </c>
      <c r="E351" s="2" t="str">
        <f>("622454419827")</f>
        <v>622454419827</v>
      </c>
      <c r="G351" s="2" t="s">
        <v>401</v>
      </c>
      <c r="H351" s="5">
        <v>17300</v>
      </c>
      <c r="I351" s="2" t="s">
        <v>18</v>
      </c>
      <c r="J351" s="3">
        <v>43013</v>
      </c>
      <c r="K351" s="2">
        <v>8.0850000000000009</v>
      </c>
      <c r="L351" s="2">
        <v>17.824000000000002</v>
      </c>
      <c r="M351" s="2">
        <v>1</v>
      </c>
      <c r="N351" s="2" t="s">
        <v>393</v>
      </c>
    </row>
    <row r="352" spans="1:14" x14ac:dyDescent="0.3">
      <c r="A352" s="2" t="s">
        <v>14</v>
      </c>
      <c r="B352" s="2" t="s">
        <v>15</v>
      </c>
      <c r="C352" s="2" t="s">
        <v>16</v>
      </c>
      <c r="D352" s="2" t="str">
        <f>("078226")</f>
        <v>078226</v>
      </c>
      <c r="E352" s="2" t="str">
        <f>("622454782266")</f>
        <v>622454782266</v>
      </c>
      <c r="G352" s="2" t="s">
        <v>402</v>
      </c>
      <c r="H352" s="5">
        <v>2482.8200000000002</v>
      </c>
      <c r="I352" s="2" t="s">
        <v>18</v>
      </c>
      <c r="J352" s="3">
        <v>43013</v>
      </c>
      <c r="K352" s="2">
        <v>0.17299999999999999</v>
      </c>
      <c r="L352" s="2">
        <v>0.38100000000000001</v>
      </c>
      <c r="M352" s="2">
        <v>15</v>
      </c>
      <c r="N352" s="2" t="s">
        <v>403</v>
      </c>
    </row>
    <row r="353" spans="1:14" x14ac:dyDescent="0.3">
      <c r="A353" s="2" t="s">
        <v>14</v>
      </c>
      <c r="B353" s="2" t="s">
        <v>15</v>
      </c>
      <c r="C353" s="2" t="s">
        <v>16</v>
      </c>
      <c r="D353" s="2" t="str">
        <f>("078227")</f>
        <v>078227</v>
      </c>
      <c r="E353" s="2" t="str">
        <f>("622454782273")</f>
        <v>622454782273</v>
      </c>
      <c r="G353" s="2" t="s">
        <v>404</v>
      </c>
      <c r="H353" s="5">
        <v>2715.05</v>
      </c>
      <c r="I353" s="2" t="s">
        <v>18</v>
      </c>
      <c r="J353" s="3">
        <v>43013</v>
      </c>
      <c r="K353" s="2">
        <v>0.158</v>
      </c>
      <c r="L353" s="2">
        <v>0.34799999999999998</v>
      </c>
      <c r="M353" s="2">
        <v>15</v>
      </c>
      <c r="N353" s="2" t="s">
        <v>403</v>
      </c>
    </row>
    <row r="354" spans="1:14" x14ac:dyDescent="0.3">
      <c r="A354" s="2" t="s">
        <v>14</v>
      </c>
      <c r="B354" s="2" t="s">
        <v>15</v>
      </c>
      <c r="C354" s="2" t="s">
        <v>16</v>
      </c>
      <c r="D354" s="2" t="str">
        <f>("078229")</f>
        <v>078229</v>
      </c>
      <c r="E354" s="2" t="str">
        <f>("622454782297")</f>
        <v>622454782297</v>
      </c>
      <c r="G354" s="2" t="s">
        <v>405</v>
      </c>
      <c r="H354" s="5">
        <v>2362.63</v>
      </c>
      <c r="I354" s="2" t="s">
        <v>18</v>
      </c>
      <c r="J354" s="3">
        <v>43013</v>
      </c>
      <c r="K354" s="2">
        <v>0.16300000000000001</v>
      </c>
      <c r="L354" s="2">
        <v>0.35899999999999999</v>
      </c>
      <c r="M354" s="2">
        <v>10</v>
      </c>
      <c r="N354" s="2" t="s">
        <v>403</v>
      </c>
    </row>
    <row r="355" spans="1:14" x14ac:dyDescent="0.3">
      <c r="A355" s="2" t="s">
        <v>14</v>
      </c>
      <c r="B355" s="2" t="s">
        <v>15</v>
      </c>
      <c r="C355" s="2" t="s">
        <v>16</v>
      </c>
      <c r="D355" s="2" t="str">
        <f>("078230")</f>
        <v>078230</v>
      </c>
      <c r="E355" s="2" t="str">
        <f>("622454782303")</f>
        <v>622454782303</v>
      </c>
      <c r="G355" s="2" t="s">
        <v>406</v>
      </c>
      <c r="H355" s="5">
        <v>2482.8200000000002</v>
      </c>
      <c r="I355" s="2" t="s">
        <v>18</v>
      </c>
      <c r="J355" s="3">
        <v>43013</v>
      </c>
      <c r="K355" s="2">
        <v>0.17599999999999999</v>
      </c>
      <c r="L355" s="2">
        <v>0.38800000000000001</v>
      </c>
      <c r="M355" s="2">
        <v>10</v>
      </c>
      <c r="N355" s="2" t="s">
        <v>403</v>
      </c>
    </row>
    <row r="356" spans="1:14" x14ac:dyDescent="0.3">
      <c r="A356" s="2" t="s">
        <v>14</v>
      </c>
      <c r="B356" s="2" t="s">
        <v>15</v>
      </c>
      <c r="C356" s="2" t="s">
        <v>16</v>
      </c>
      <c r="D356" s="2" t="str">
        <f>("078232")</f>
        <v>078232</v>
      </c>
      <c r="E356" s="2" t="str">
        <f>("622454782327")</f>
        <v>622454782327</v>
      </c>
      <c r="G356" s="2" t="s">
        <v>407</v>
      </c>
      <c r="H356" s="5">
        <v>2530.5500000000002</v>
      </c>
      <c r="I356" s="2" t="s">
        <v>18</v>
      </c>
      <c r="J356" s="3">
        <v>43013</v>
      </c>
      <c r="K356" s="2">
        <v>0.153</v>
      </c>
      <c r="L356" s="2">
        <v>0.33700000000000002</v>
      </c>
      <c r="M356" s="2">
        <v>10</v>
      </c>
      <c r="N356" s="2" t="s">
        <v>403</v>
      </c>
    </row>
    <row r="357" spans="1:14" x14ac:dyDescent="0.3">
      <c r="A357" s="2" t="s">
        <v>14</v>
      </c>
      <c r="B357" s="2" t="s">
        <v>15</v>
      </c>
      <c r="C357" s="2" t="s">
        <v>16</v>
      </c>
      <c r="D357" s="2" t="str">
        <f>("078233")</f>
        <v>078233</v>
      </c>
      <c r="E357" s="2" t="str">
        <f>("622454782334")</f>
        <v>622454782334</v>
      </c>
      <c r="G357" s="2" t="s">
        <v>408</v>
      </c>
      <c r="H357" s="5">
        <v>2715.05</v>
      </c>
      <c r="I357" s="2" t="s">
        <v>18</v>
      </c>
      <c r="J357" s="3">
        <v>43013</v>
      </c>
      <c r="K357" s="2">
        <v>0.159</v>
      </c>
      <c r="L357" s="2">
        <v>0.35099999999999998</v>
      </c>
      <c r="M357" s="2">
        <v>10</v>
      </c>
      <c r="N357" s="2" t="s">
        <v>403</v>
      </c>
    </row>
    <row r="358" spans="1:14" x14ac:dyDescent="0.3">
      <c r="A358" s="2" t="s">
        <v>14</v>
      </c>
      <c r="B358" s="2" t="s">
        <v>15</v>
      </c>
      <c r="C358" s="2" t="s">
        <v>16</v>
      </c>
      <c r="D358" s="2" t="str">
        <f>("078235")</f>
        <v>078235</v>
      </c>
      <c r="E358" s="2" t="str">
        <f>("622454782358")</f>
        <v>622454782358</v>
      </c>
      <c r="G358" s="2" t="s">
        <v>409</v>
      </c>
      <c r="H358" s="5">
        <v>2977.63</v>
      </c>
      <c r="I358" s="2" t="s">
        <v>18</v>
      </c>
      <c r="J358" s="3">
        <v>43013</v>
      </c>
      <c r="K358" s="2">
        <v>0.20599999999999999</v>
      </c>
      <c r="L358" s="2">
        <v>0.45400000000000001</v>
      </c>
      <c r="M358" s="2">
        <v>10</v>
      </c>
      <c r="N358" s="2" t="s">
        <v>403</v>
      </c>
    </row>
    <row r="359" spans="1:14" x14ac:dyDescent="0.3">
      <c r="A359" s="2" t="s">
        <v>14</v>
      </c>
      <c r="B359" s="2" t="s">
        <v>15</v>
      </c>
      <c r="C359" s="2" t="s">
        <v>16</v>
      </c>
      <c r="D359" s="2" t="str">
        <f>("078236")</f>
        <v>078236</v>
      </c>
      <c r="E359" s="2" t="str">
        <f>("622454782365")</f>
        <v>622454782365</v>
      </c>
      <c r="G359" s="2" t="s">
        <v>410</v>
      </c>
      <c r="H359" s="5">
        <v>3371.33</v>
      </c>
      <c r="I359" s="2" t="s">
        <v>18</v>
      </c>
      <c r="J359" s="3">
        <v>43013</v>
      </c>
      <c r="K359" s="2">
        <v>0.17799999999999999</v>
      </c>
      <c r="L359" s="2">
        <v>0.39200000000000002</v>
      </c>
      <c r="M359" s="2">
        <v>10</v>
      </c>
      <c r="N359" s="2" t="s">
        <v>403</v>
      </c>
    </row>
    <row r="360" spans="1:14" x14ac:dyDescent="0.3">
      <c r="A360" s="2" t="s">
        <v>14</v>
      </c>
      <c r="B360" s="2" t="s">
        <v>15</v>
      </c>
      <c r="C360" s="2" t="s">
        <v>16</v>
      </c>
      <c r="D360" s="2" t="str">
        <f>("078215")</f>
        <v>078215</v>
      </c>
      <c r="E360" s="2" t="str">
        <f>("622454782150")</f>
        <v>622454782150</v>
      </c>
      <c r="G360" s="2" t="s">
        <v>411</v>
      </c>
      <c r="H360" s="5">
        <v>2362.63</v>
      </c>
      <c r="I360" s="2" t="s">
        <v>18</v>
      </c>
      <c r="J360" s="3">
        <v>43013</v>
      </c>
      <c r="K360" s="2">
        <v>0.184</v>
      </c>
      <c r="L360" s="2">
        <v>0.40600000000000003</v>
      </c>
      <c r="M360" s="2">
        <v>20</v>
      </c>
      <c r="N360" s="2" t="s">
        <v>403</v>
      </c>
    </row>
    <row r="361" spans="1:14" x14ac:dyDescent="0.3">
      <c r="A361" s="2" t="s">
        <v>14</v>
      </c>
      <c r="B361" s="2" t="s">
        <v>15</v>
      </c>
      <c r="C361" s="2" t="s">
        <v>16</v>
      </c>
      <c r="D361" s="2" t="str">
        <f>("278051")</f>
        <v>278051</v>
      </c>
      <c r="E361" s="2" t="str">
        <f>("622454138124")</f>
        <v>622454138124</v>
      </c>
      <c r="G361" s="2" t="s">
        <v>412</v>
      </c>
      <c r="H361" s="5">
        <v>2371.86</v>
      </c>
      <c r="I361" s="2" t="s">
        <v>18</v>
      </c>
      <c r="J361" s="3">
        <v>43013</v>
      </c>
      <c r="K361" s="2">
        <v>0.28299999999999997</v>
      </c>
      <c r="L361" s="2">
        <v>0.624</v>
      </c>
      <c r="M361" s="2">
        <v>10</v>
      </c>
      <c r="N361" s="2" t="s">
        <v>403</v>
      </c>
    </row>
    <row r="362" spans="1:14" x14ac:dyDescent="0.3">
      <c r="A362" s="2" t="s">
        <v>14</v>
      </c>
      <c r="B362" s="2" t="s">
        <v>15</v>
      </c>
      <c r="C362" s="2" t="s">
        <v>16</v>
      </c>
      <c r="D362" s="2" t="str">
        <f>("278050")</f>
        <v>278050</v>
      </c>
      <c r="E362" s="2" t="str">
        <f>("622454138162")</f>
        <v>622454138162</v>
      </c>
      <c r="G362" s="2" t="s">
        <v>413</v>
      </c>
      <c r="H362" s="5">
        <v>2336.37</v>
      </c>
      <c r="I362" s="2" t="s">
        <v>18</v>
      </c>
      <c r="J362" s="3">
        <v>43013</v>
      </c>
      <c r="K362" s="2">
        <v>0.249</v>
      </c>
      <c r="L362" s="2">
        <v>0.54900000000000004</v>
      </c>
      <c r="M362" s="2">
        <v>10</v>
      </c>
      <c r="N362" s="2" t="s">
        <v>403</v>
      </c>
    </row>
    <row r="363" spans="1:14" x14ac:dyDescent="0.3">
      <c r="A363" s="2" t="s">
        <v>14</v>
      </c>
      <c r="B363" s="2" t="s">
        <v>15</v>
      </c>
      <c r="C363" s="2" t="s">
        <v>16</v>
      </c>
      <c r="D363" s="2" t="str">
        <f>("077847")</f>
        <v>077847</v>
      </c>
      <c r="E363" s="2" t="str">
        <f>("622454426498")</f>
        <v>622454426498</v>
      </c>
      <c r="G363" s="2" t="s">
        <v>414</v>
      </c>
      <c r="H363" s="5">
        <v>2219.5500000000002</v>
      </c>
      <c r="I363" s="2" t="s">
        <v>18</v>
      </c>
      <c r="J363" s="3">
        <v>43013</v>
      </c>
      <c r="K363" s="2">
        <v>0.24299999999999999</v>
      </c>
      <c r="L363" s="2">
        <v>0.53600000000000003</v>
      </c>
      <c r="M363" s="2">
        <v>10</v>
      </c>
      <c r="N363" s="2" t="s">
        <v>415</v>
      </c>
    </row>
    <row r="364" spans="1:14" x14ac:dyDescent="0.3">
      <c r="A364" s="2" t="s">
        <v>14</v>
      </c>
      <c r="B364" s="2" t="s">
        <v>15</v>
      </c>
      <c r="C364" s="2" t="s">
        <v>16</v>
      </c>
      <c r="D364" s="2" t="str">
        <f>("077849")</f>
        <v>077849</v>
      </c>
      <c r="E364" s="2" t="str">
        <f>("622454426511")</f>
        <v>622454426511</v>
      </c>
      <c r="G364" s="2" t="s">
        <v>416</v>
      </c>
      <c r="H364" s="5">
        <v>2253.27</v>
      </c>
      <c r="I364" s="2" t="s">
        <v>18</v>
      </c>
      <c r="J364" s="3">
        <v>43013</v>
      </c>
      <c r="K364" s="2">
        <v>0.27900000000000003</v>
      </c>
      <c r="L364" s="2">
        <v>0.61499999999999999</v>
      </c>
      <c r="M364" s="2">
        <v>10</v>
      </c>
      <c r="N364" s="2" t="s">
        <v>415</v>
      </c>
    </row>
    <row r="365" spans="1:14" x14ac:dyDescent="0.3">
      <c r="A365" s="2" t="s">
        <v>14</v>
      </c>
      <c r="B365" s="2" t="s">
        <v>15</v>
      </c>
      <c r="C365" s="2" t="s">
        <v>16</v>
      </c>
      <c r="D365" s="2" t="str">
        <f>("278084")</f>
        <v>278084</v>
      </c>
      <c r="E365" s="2" t="str">
        <f>("622454271043")</f>
        <v>622454271043</v>
      </c>
      <c r="G365" s="2" t="s">
        <v>417</v>
      </c>
      <c r="H365" s="5">
        <v>3813</v>
      </c>
      <c r="I365" s="2" t="s">
        <v>18</v>
      </c>
      <c r="J365" s="3">
        <v>43013</v>
      </c>
      <c r="K365" s="2">
        <v>0.35</v>
      </c>
      <c r="L365" s="2">
        <v>0.77200000000000002</v>
      </c>
      <c r="M365" s="2">
        <v>10</v>
      </c>
      <c r="N365" s="2" t="s">
        <v>403</v>
      </c>
    </row>
    <row r="366" spans="1:14" x14ac:dyDescent="0.3">
      <c r="A366" s="2" t="s">
        <v>14</v>
      </c>
      <c r="B366" s="2" t="s">
        <v>15</v>
      </c>
      <c r="C366" s="2" t="s">
        <v>16</v>
      </c>
      <c r="D366" s="2" t="str">
        <f>("278083")</f>
        <v>278083</v>
      </c>
      <c r="E366" s="2" t="str">
        <f>("622454271036")</f>
        <v>622454271036</v>
      </c>
      <c r="G366" s="2" t="s">
        <v>418</v>
      </c>
      <c r="H366" s="5">
        <v>3236.16</v>
      </c>
      <c r="I366" s="2" t="s">
        <v>18</v>
      </c>
      <c r="J366" s="3">
        <v>43013</v>
      </c>
      <c r="K366" s="2">
        <v>0.33100000000000002</v>
      </c>
      <c r="L366" s="2">
        <v>0.73</v>
      </c>
      <c r="M366" s="2">
        <v>10</v>
      </c>
      <c r="N366" s="2" t="s">
        <v>403</v>
      </c>
    </row>
    <row r="367" spans="1:14" x14ac:dyDescent="0.3">
      <c r="A367" s="2" t="s">
        <v>14</v>
      </c>
      <c r="B367" s="2" t="s">
        <v>15</v>
      </c>
      <c r="C367" s="2" t="s">
        <v>16</v>
      </c>
      <c r="D367" s="2" t="str">
        <f>("278038")</f>
        <v>278038</v>
      </c>
      <c r="E367" s="2" t="str">
        <f>("622454315167")</f>
        <v>622454315167</v>
      </c>
      <c r="G367" s="2" t="s">
        <v>419</v>
      </c>
      <c r="H367" s="5">
        <v>3347.16</v>
      </c>
      <c r="I367" s="2" t="s">
        <v>18</v>
      </c>
      <c r="J367" s="3">
        <v>43013</v>
      </c>
      <c r="K367" s="2">
        <v>0.317</v>
      </c>
      <c r="L367" s="2">
        <v>0.69899999999999995</v>
      </c>
      <c r="M367" s="2">
        <v>10</v>
      </c>
      <c r="N367" s="2" t="s">
        <v>403</v>
      </c>
    </row>
    <row r="368" spans="1:14" x14ac:dyDescent="0.3">
      <c r="A368" s="2" t="s">
        <v>14</v>
      </c>
      <c r="B368" s="2" t="s">
        <v>15</v>
      </c>
      <c r="C368" s="2" t="s">
        <v>16</v>
      </c>
      <c r="D368" s="2" t="str">
        <f>("278082")</f>
        <v>278082</v>
      </c>
      <c r="E368" s="2" t="str">
        <f>("622454269507")</f>
        <v>622454269507</v>
      </c>
      <c r="G368" s="2" t="s">
        <v>420</v>
      </c>
      <c r="H368" s="5">
        <v>3176.29</v>
      </c>
      <c r="I368" s="2" t="s">
        <v>18</v>
      </c>
      <c r="J368" s="3">
        <v>43013</v>
      </c>
      <c r="K368" s="2">
        <v>0.308</v>
      </c>
      <c r="L368" s="2">
        <v>0.67900000000000005</v>
      </c>
      <c r="M368" s="2">
        <v>10</v>
      </c>
      <c r="N368" s="2" t="s">
        <v>403</v>
      </c>
    </row>
    <row r="369" spans="1:14" x14ac:dyDescent="0.3">
      <c r="A369" s="2" t="s">
        <v>14</v>
      </c>
      <c r="B369" s="2" t="s">
        <v>15</v>
      </c>
      <c r="C369" s="2" t="s">
        <v>16</v>
      </c>
      <c r="D369" s="2" t="str">
        <f>("278087")</f>
        <v>278087</v>
      </c>
      <c r="E369" s="2" t="str">
        <f>("622454271074")</f>
        <v>622454271074</v>
      </c>
      <c r="G369" s="2" t="s">
        <v>421</v>
      </c>
      <c r="H369" s="5">
        <v>3813</v>
      </c>
      <c r="I369" s="2" t="s">
        <v>18</v>
      </c>
      <c r="J369" s="3">
        <v>43013</v>
      </c>
      <c r="K369" s="2">
        <v>0.32900000000000001</v>
      </c>
      <c r="L369" s="2">
        <v>0.72499999999999998</v>
      </c>
      <c r="M369" s="2">
        <v>10</v>
      </c>
      <c r="N369" s="2" t="s">
        <v>403</v>
      </c>
    </row>
    <row r="370" spans="1:14" x14ac:dyDescent="0.3">
      <c r="A370" s="2" t="s">
        <v>14</v>
      </c>
      <c r="B370" s="2" t="s">
        <v>15</v>
      </c>
      <c r="C370" s="2" t="s">
        <v>16</v>
      </c>
      <c r="D370" s="2" t="str">
        <f>("278068")</f>
        <v>278068</v>
      </c>
      <c r="E370" s="2" t="str">
        <f>("622454196780")</f>
        <v>622454196780</v>
      </c>
      <c r="G370" s="2" t="s">
        <v>422</v>
      </c>
      <c r="H370" s="5">
        <v>3847.74</v>
      </c>
      <c r="I370" s="2" t="s">
        <v>18</v>
      </c>
      <c r="J370" s="3">
        <v>43013</v>
      </c>
      <c r="K370" s="2">
        <v>0.42399999999999999</v>
      </c>
      <c r="L370" s="2">
        <v>0.93500000000000005</v>
      </c>
      <c r="M370" s="2">
        <v>10</v>
      </c>
      <c r="N370" s="2" t="s">
        <v>423</v>
      </c>
    </row>
    <row r="371" spans="1:14" x14ac:dyDescent="0.3">
      <c r="A371" s="2" t="s">
        <v>14</v>
      </c>
      <c r="B371" s="2" t="s">
        <v>15</v>
      </c>
      <c r="C371" s="2" t="s">
        <v>16</v>
      </c>
      <c r="D371" s="2" t="str">
        <f>("278067")</f>
        <v>278067</v>
      </c>
      <c r="E371" s="2" t="str">
        <f>("622454196773")</f>
        <v>622454196773</v>
      </c>
      <c r="G371" s="2" t="s">
        <v>424</v>
      </c>
      <c r="H371" s="5">
        <v>3847.74</v>
      </c>
      <c r="I371" s="2" t="s">
        <v>18</v>
      </c>
      <c r="J371" s="3">
        <v>43013</v>
      </c>
      <c r="K371" s="2">
        <v>0.41</v>
      </c>
      <c r="L371" s="2">
        <v>0.90400000000000003</v>
      </c>
      <c r="M371" s="2">
        <v>10</v>
      </c>
      <c r="N371" s="2" t="s">
        <v>423</v>
      </c>
    </row>
    <row r="372" spans="1:14" x14ac:dyDescent="0.3">
      <c r="A372" s="2" t="s">
        <v>14</v>
      </c>
      <c r="B372" s="2" t="s">
        <v>15</v>
      </c>
      <c r="C372" s="2" t="s">
        <v>16</v>
      </c>
      <c r="D372" s="2" t="str">
        <f>("278069")</f>
        <v>278069</v>
      </c>
      <c r="E372" s="2" t="str">
        <f>("622454196797")</f>
        <v>622454196797</v>
      </c>
      <c r="G372" s="2" t="s">
        <v>425</v>
      </c>
      <c r="H372" s="5">
        <v>4816.47</v>
      </c>
      <c r="I372" s="2" t="s">
        <v>18</v>
      </c>
      <c r="J372" s="3">
        <v>43013</v>
      </c>
      <c r="K372" s="2">
        <v>0.39100000000000001</v>
      </c>
      <c r="L372" s="2">
        <v>0.86199999999999999</v>
      </c>
      <c r="M372" s="2">
        <v>8</v>
      </c>
      <c r="N372" s="2" t="s">
        <v>423</v>
      </c>
    </row>
    <row r="373" spans="1:14" x14ac:dyDescent="0.3">
      <c r="A373" s="2" t="s">
        <v>14</v>
      </c>
      <c r="B373" s="2" t="s">
        <v>15</v>
      </c>
      <c r="C373" s="2" t="s">
        <v>16</v>
      </c>
      <c r="D373" s="2" t="str">
        <f>("078898")</f>
        <v>078898</v>
      </c>
      <c r="E373" s="2" t="str">
        <f>("622454788985")</f>
        <v>622454788985</v>
      </c>
      <c r="G373" s="2" t="s">
        <v>426</v>
      </c>
      <c r="H373" s="5">
        <v>662.36</v>
      </c>
      <c r="I373" s="2" t="s">
        <v>18</v>
      </c>
      <c r="J373" s="3">
        <v>43013</v>
      </c>
      <c r="K373" s="2">
        <v>4.2999999999999997E-2</v>
      </c>
      <c r="L373" s="2">
        <v>9.5000000000000001E-2</v>
      </c>
      <c r="M373" s="2">
        <v>100</v>
      </c>
      <c r="N373" s="2" t="s">
        <v>427</v>
      </c>
    </row>
    <row r="374" spans="1:14" x14ac:dyDescent="0.3">
      <c r="A374" s="2" t="s">
        <v>14</v>
      </c>
      <c r="B374" s="2" t="s">
        <v>15</v>
      </c>
      <c r="C374" s="2" t="s">
        <v>16</v>
      </c>
      <c r="D374" s="2" t="str">
        <f>("078889")</f>
        <v>078889</v>
      </c>
      <c r="E374" s="2" t="str">
        <f>("622454788893")</f>
        <v>622454788893</v>
      </c>
      <c r="G374" s="2" t="s">
        <v>428</v>
      </c>
      <c r="H374" s="5">
        <v>662.36</v>
      </c>
      <c r="I374" s="2" t="s">
        <v>18</v>
      </c>
      <c r="J374" s="3">
        <v>43013</v>
      </c>
      <c r="K374" s="2">
        <v>3.6999999999999998E-2</v>
      </c>
      <c r="L374" s="2">
        <v>8.2000000000000003E-2</v>
      </c>
      <c r="M374" s="2">
        <v>100</v>
      </c>
      <c r="N374" s="2" t="s">
        <v>427</v>
      </c>
    </row>
    <row r="375" spans="1:14" x14ac:dyDescent="0.3">
      <c r="A375" s="2" t="s">
        <v>14</v>
      </c>
      <c r="B375" s="2" t="s">
        <v>15</v>
      </c>
      <c r="C375" s="2" t="s">
        <v>16</v>
      </c>
      <c r="D375" s="2" t="str">
        <f>("078882")</f>
        <v>078882</v>
      </c>
      <c r="E375" s="2" t="str">
        <f>("622454788824")</f>
        <v>622454788824</v>
      </c>
      <c r="G375" s="2" t="s">
        <v>429</v>
      </c>
      <c r="H375" s="5">
        <v>662.36</v>
      </c>
      <c r="I375" s="2" t="s">
        <v>18</v>
      </c>
      <c r="J375" s="3">
        <v>43013</v>
      </c>
      <c r="K375" s="2">
        <v>2.7E-2</v>
      </c>
      <c r="L375" s="2">
        <v>0.06</v>
      </c>
      <c r="M375" s="2">
        <v>100</v>
      </c>
      <c r="N375" s="2" t="s">
        <v>427</v>
      </c>
    </row>
    <row r="376" spans="1:14" x14ac:dyDescent="0.3">
      <c r="A376" s="2" t="s">
        <v>14</v>
      </c>
      <c r="B376" s="2" t="s">
        <v>15</v>
      </c>
      <c r="C376" s="2" t="s">
        <v>16</v>
      </c>
      <c r="D376" s="2" t="str">
        <f>("078913")</f>
        <v>078913</v>
      </c>
      <c r="E376" s="2" t="str">
        <f>("622454789135")</f>
        <v>622454789135</v>
      </c>
      <c r="G376" s="2" t="s">
        <v>430</v>
      </c>
      <c r="H376" s="5">
        <v>662.36</v>
      </c>
      <c r="I376" s="2" t="s">
        <v>18</v>
      </c>
      <c r="J376" s="3">
        <v>43013</v>
      </c>
      <c r="K376" s="2">
        <v>2.1999999999999999E-2</v>
      </c>
      <c r="L376" s="2">
        <v>4.9000000000000002E-2</v>
      </c>
      <c r="M376" s="2">
        <v>100</v>
      </c>
      <c r="N376" s="2" t="s">
        <v>427</v>
      </c>
    </row>
    <row r="377" spans="1:14" x14ac:dyDescent="0.3">
      <c r="A377" s="2" t="s">
        <v>14</v>
      </c>
      <c r="B377" s="2" t="s">
        <v>15</v>
      </c>
      <c r="C377" s="2" t="s">
        <v>16</v>
      </c>
      <c r="D377" s="2" t="str">
        <f>("078914")</f>
        <v>078914</v>
      </c>
      <c r="E377" s="2" t="str">
        <f>("622454789142")</f>
        <v>622454789142</v>
      </c>
      <c r="G377" s="2" t="s">
        <v>431</v>
      </c>
      <c r="H377" s="5">
        <v>662.36</v>
      </c>
      <c r="I377" s="2" t="s">
        <v>18</v>
      </c>
      <c r="J377" s="3">
        <v>43013</v>
      </c>
      <c r="K377" s="2">
        <v>2.1999999999999999E-2</v>
      </c>
      <c r="L377" s="2">
        <v>4.9000000000000002E-2</v>
      </c>
      <c r="M377" s="2">
        <v>100</v>
      </c>
      <c r="N377" s="2" t="s">
        <v>427</v>
      </c>
    </row>
    <row r="378" spans="1:14" x14ac:dyDescent="0.3">
      <c r="A378" s="2" t="s">
        <v>14</v>
      </c>
      <c r="B378" s="2" t="s">
        <v>15</v>
      </c>
      <c r="C378" s="2" t="s">
        <v>16</v>
      </c>
      <c r="D378" s="2" t="str">
        <f>("078241")</f>
        <v>078241</v>
      </c>
      <c r="E378" s="2" t="str">
        <f>("622454782419")</f>
        <v>622454782419</v>
      </c>
      <c r="G378" s="2" t="s">
        <v>432</v>
      </c>
      <c r="H378" s="5">
        <v>1280.3800000000001</v>
      </c>
      <c r="I378" s="2" t="s">
        <v>18</v>
      </c>
      <c r="J378" s="3">
        <v>43013</v>
      </c>
      <c r="K378" s="2">
        <v>4.4999999999999998E-2</v>
      </c>
      <c r="L378" s="2">
        <v>9.9000000000000005E-2</v>
      </c>
      <c r="M378" s="2">
        <v>50</v>
      </c>
      <c r="N378" s="2" t="s">
        <v>427</v>
      </c>
    </row>
    <row r="379" spans="1:14" x14ac:dyDescent="0.3">
      <c r="A379" s="2" t="s">
        <v>14</v>
      </c>
      <c r="B379" s="2" t="s">
        <v>15</v>
      </c>
      <c r="C379" s="2" t="s">
        <v>16</v>
      </c>
      <c r="D379" s="2" t="str">
        <f>("078900")</f>
        <v>078900</v>
      </c>
      <c r="E379" s="2" t="str">
        <f>("622454789005")</f>
        <v>622454789005</v>
      </c>
      <c r="G379" s="2" t="s">
        <v>433</v>
      </c>
      <c r="H379" s="5">
        <v>1686.04</v>
      </c>
      <c r="I379" s="2" t="s">
        <v>18</v>
      </c>
      <c r="J379" s="3">
        <v>43013</v>
      </c>
      <c r="K379" s="2">
        <v>0.1</v>
      </c>
      <c r="L379" s="2">
        <v>0.22</v>
      </c>
      <c r="M379" s="2">
        <v>20</v>
      </c>
      <c r="N379" s="2" t="s">
        <v>434</v>
      </c>
    </row>
    <row r="380" spans="1:14" x14ac:dyDescent="0.3">
      <c r="A380" s="2" t="s">
        <v>14</v>
      </c>
      <c r="B380" s="2" t="s">
        <v>15</v>
      </c>
      <c r="C380" s="2" t="s">
        <v>16</v>
      </c>
      <c r="D380" s="2" t="str">
        <f>("078899")</f>
        <v>078899</v>
      </c>
      <c r="E380" s="2" t="str">
        <f>("622454788992")</f>
        <v>622454788992</v>
      </c>
      <c r="G380" s="2" t="s">
        <v>435</v>
      </c>
      <c r="H380" s="5">
        <v>2194.5300000000002</v>
      </c>
      <c r="I380" s="2" t="s">
        <v>18</v>
      </c>
      <c r="J380" s="3">
        <v>43013</v>
      </c>
      <c r="K380" s="2">
        <v>9.9000000000000005E-2</v>
      </c>
      <c r="L380" s="2">
        <v>0.218</v>
      </c>
      <c r="M380" s="2">
        <v>20</v>
      </c>
      <c r="N380" s="2" t="s">
        <v>434</v>
      </c>
    </row>
    <row r="381" spans="1:14" x14ac:dyDescent="0.3">
      <c r="A381" s="2" t="s">
        <v>14</v>
      </c>
      <c r="B381" s="2" t="s">
        <v>15</v>
      </c>
      <c r="C381" s="2" t="s">
        <v>16</v>
      </c>
      <c r="D381" s="2" t="str">
        <f>("078903")</f>
        <v>078903</v>
      </c>
      <c r="E381" s="2" t="str">
        <f>("622454789036")</f>
        <v>622454789036</v>
      </c>
      <c r="G381" s="2" t="s">
        <v>436</v>
      </c>
      <c r="H381" s="5">
        <v>1921.55</v>
      </c>
      <c r="I381" s="2" t="s">
        <v>18</v>
      </c>
      <c r="J381" s="3">
        <v>43013</v>
      </c>
      <c r="K381" s="2">
        <v>0.114</v>
      </c>
      <c r="L381" s="2">
        <v>0.251</v>
      </c>
      <c r="M381" s="2">
        <v>20</v>
      </c>
      <c r="N381" s="2" t="s">
        <v>434</v>
      </c>
    </row>
    <row r="382" spans="1:14" x14ac:dyDescent="0.3">
      <c r="A382" s="2" t="s">
        <v>14</v>
      </c>
      <c r="B382" s="2" t="s">
        <v>15</v>
      </c>
      <c r="C382" s="2" t="s">
        <v>16</v>
      </c>
      <c r="D382" s="2" t="str">
        <f>("078901")</f>
        <v>078901</v>
      </c>
      <c r="E382" s="2" t="str">
        <f>("622454789012")</f>
        <v>622454789012</v>
      </c>
      <c r="G382" s="2" t="s">
        <v>437</v>
      </c>
      <c r="H382" s="5">
        <v>1835.91</v>
      </c>
      <c r="I382" s="2" t="s">
        <v>18</v>
      </c>
      <c r="J382" s="3">
        <v>43013</v>
      </c>
      <c r="K382" s="2">
        <v>0.11</v>
      </c>
      <c r="L382" s="2">
        <v>0.24299999999999999</v>
      </c>
      <c r="M382" s="2">
        <v>20</v>
      </c>
      <c r="N382" s="2" t="s">
        <v>434</v>
      </c>
    </row>
    <row r="383" spans="1:14" x14ac:dyDescent="0.3">
      <c r="A383" s="2" t="s">
        <v>14</v>
      </c>
      <c r="B383" s="2" t="s">
        <v>15</v>
      </c>
      <c r="C383" s="2" t="s">
        <v>16</v>
      </c>
      <c r="D383" s="2" t="str">
        <f>("078843")</f>
        <v>078843</v>
      </c>
      <c r="E383" s="2" t="str">
        <f>("622454788435")</f>
        <v>622454788435</v>
      </c>
      <c r="G383" s="2" t="s">
        <v>438</v>
      </c>
      <c r="H383" s="5">
        <v>1835.91</v>
      </c>
      <c r="I383" s="2" t="s">
        <v>18</v>
      </c>
      <c r="J383" s="3">
        <v>43013</v>
      </c>
      <c r="K383" s="2">
        <v>0.114</v>
      </c>
      <c r="L383" s="2">
        <v>0.251</v>
      </c>
      <c r="M383" s="2">
        <v>20</v>
      </c>
      <c r="N383" s="2" t="s">
        <v>434</v>
      </c>
    </row>
    <row r="384" spans="1:14" x14ac:dyDescent="0.3">
      <c r="A384" s="2" t="s">
        <v>14</v>
      </c>
      <c r="B384" s="2" t="s">
        <v>15</v>
      </c>
      <c r="C384" s="2" t="s">
        <v>16</v>
      </c>
      <c r="D384" s="2" t="str">
        <f>("078902")</f>
        <v>078902</v>
      </c>
      <c r="E384" s="2" t="str">
        <f>("622454789029")</f>
        <v>622454789029</v>
      </c>
      <c r="G384" s="2" t="s">
        <v>439</v>
      </c>
      <c r="H384" s="5">
        <v>1964.37</v>
      </c>
      <c r="I384" s="2" t="s">
        <v>18</v>
      </c>
      <c r="J384" s="3">
        <v>43013</v>
      </c>
      <c r="K384" s="2">
        <v>0.108</v>
      </c>
      <c r="L384" s="2">
        <v>0.23799999999999999</v>
      </c>
      <c r="M384" s="2">
        <v>20</v>
      </c>
      <c r="N384" s="2" t="s">
        <v>434</v>
      </c>
    </row>
    <row r="385" spans="1:14" x14ac:dyDescent="0.3">
      <c r="A385" s="2" t="s">
        <v>14</v>
      </c>
      <c r="B385" s="2" t="s">
        <v>15</v>
      </c>
      <c r="C385" s="2" t="s">
        <v>16</v>
      </c>
      <c r="D385" s="2" t="str">
        <f>("078844")</f>
        <v>078844</v>
      </c>
      <c r="E385" s="2" t="str">
        <f>("622454788442")</f>
        <v>622454788442</v>
      </c>
      <c r="G385" s="2" t="s">
        <v>440</v>
      </c>
      <c r="H385" s="5">
        <v>1964.37</v>
      </c>
      <c r="I385" s="2" t="s">
        <v>18</v>
      </c>
      <c r="J385" s="3">
        <v>43013</v>
      </c>
      <c r="K385" s="2">
        <v>0.113</v>
      </c>
      <c r="L385" s="2">
        <v>0.249</v>
      </c>
      <c r="M385" s="2">
        <v>20</v>
      </c>
      <c r="N385" s="2" t="s">
        <v>434</v>
      </c>
    </row>
    <row r="386" spans="1:14" x14ac:dyDescent="0.3">
      <c r="A386" s="2" t="s">
        <v>14</v>
      </c>
      <c r="B386" s="2" t="s">
        <v>15</v>
      </c>
      <c r="C386" s="2" t="s">
        <v>16</v>
      </c>
      <c r="D386" s="2" t="str">
        <f>("078326")</f>
        <v>078326</v>
      </c>
      <c r="E386" s="2" t="str">
        <f>("622454783263")</f>
        <v>622454783263</v>
      </c>
      <c r="G386" s="2" t="s">
        <v>441</v>
      </c>
      <c r="H386" s="5">
        <v>864.44</v>
      </c>
      <c r="I386" s="2" t="s">
        <v>18</v>
      </c>
      <c r="J386" s="3">
        <v>43013</v>
      </c>
      <c r="K386" s="2">
        <v>0.153</v>
      </c>
      <c r="L386" s="2">
        <v>0.33700000000000002</v>
      </c>
      <c r="M386" s="2">
        <v>30</v>
      </c>
      <c r="N386" s="2" t="s">
        <v>434</v>
      </c>
    </row>
    <row r="387" spans="1:14" x14ac:dyDescent="0.3">
      <c r="A387" s="2" t="s">
        <v>14</v>
      </c>
      <c r="B387" s="2" t="s">
        <v>15</v>
      </c>
      <c r="C387" s="2" t="s">
        <v>16</v>
      </c>
      <c r="D387" s="2" t="str">
        <f>("078383")</f>
        <v>078383</v>
      </c>
      <c r="E387" s="2" t="str">
        <f>("622454783836")</f>
        <v>622454783836</v>
      </c>
      <c r="G387" s="2" t="s">
        <v>442</v>
      </c>
      <c r="H387" s="5">
        <v>864.44</v>
      </c>
      <c r="I387" s="2" t="s">
        <v>18</v>
      </c>
      <c r="J387" s="3">
        <v>43013</v>
      </c>
      <c r="K387" s="2">
        <v>0.16300000000000001</v>
      </c>
      <c r="L387" s="2">
        <v>0.35899999999999999</v>
      </c>
      <c r="M387" s="2">
        <v>30</v>
      </c>
      <c r="N387" s="2" t="s">
        <v>434</v>
      </c>
    </row>
    <row r="388" spans="1:14" x14ac:dyDescent="0.3">
      <c r="A388" s="2" t="s">
        <v>14</v>
      </c>
      <c r="B388" s="2" t="s">
        <v>15</v>
      </c>
      <c r="C388" s="2" t="s">
        <v>16</v>
      </c>
      <c r="D388" s="2" t="str">
        <f>("078904")</f>
        <v>078904</v>
      </c>
      <c r="E388" s="2" t="str">
        <f>("622454789043")</f>
        <v>622454789043</v>
      </c>
      <c r="G388" s="2" t="s">
        <v>443</v>
      </c>
      <c r="H388" s="5">
        <v>2266.79</v>
      </c>
      <c r="I388" s="2" t="s">
        <v>18</v>
      </c>
      <c r="J388" s="3">
        <v>43013</v>
      </c>
      <c r="K388" s="2">
        <v>0.112</v>
      </c>
      <c r="L388" s="2">
        <v>0.247</v>
      </c>
      <c r="M388" s="2">
        <v>20</v>
      </c>
      <c r="N388" s="2" t="s">
        <v>434</v>
      </c>
    </row>
    <row r="389" spans="1:14" x14ac:dyDescent="0.3">
      <c r="A389" s="2" t="s">
        <v>14</v>
      </c>
      <c r="B389" s="2" t="s">
        <v>15</v>
      </c>
      <c r="C389" s="2" t="s">
        <v>16</v>
      </c>
      <c r="D389" s="2" t="str">
        <f>("078905")</f>
        <v>078905</v>
      </c>
      <c r="E389" s="2" t="str">
        <f>("622454789050")</f>
        <v>622454789050</v>
      </c>
      <c r="G389" s="2" t="s">
        <v>444</v>
      </c>
      <c r="H389" s="5">
        <v>3236.28</v>
      </c>
      <c r="I389" s="2" t="s">
        <v>18</v>
      </c>
      <c r="J389" s="3">
        <v>43013</v>
      </c>
      <c r="K389" s="2">
        <v>0.112</v>
      </c>
      <c r="L389" s="2">
        <v>0.247</v>
      </c>
      <c r="M389" s="2">
        <v>20</v>
      </c>
      <c r="N389" s="2" t="s">
        <v>434</v>
      </c>
    </row>
    <row r="390" spans="1:14" x14ac:dyDescent="0.3">
      <c r="A390" s="2" t="s">
        <v>14</v>
      </c>
      <c r="B390" s="2" t="s">
        <v>15</v>
      </c>
      <c r="C390" s="2" t="s">
        <v>16</v>
      </c>
      <c r="D390" s="2" t="str">
        <f>("078906")</f>
        <v>078906</v>
      </c>
      <c r="E390" s="2" t="str">
        <f>("622454789067")</f>
        <v>622454789067</v>
      </c>
      <c r="G390" s="2" t="s">
        <v>445</v>
      </c>
      <c r="H390" s="5">
        <v>3236.28</v>
      </c>
      <c r="I390" s="2" t="s">
        <v>18</v>
      </c>
      <c r="J390" s="3">
        <v>43013</v>
      </c>
      <c r="K390" s="2">
        <v>0.112</v>
      </c>
      <c r="L390" s="2">
        <v>0.247</v>
      </c>
      <c r="M390" s="2">
        <v>20</v>
      </c>
      <c r="N390" s="2" t="s">
        <v>434</v>
      </c>
    </row>
    <row r="391" spans="1:14" x14ac:dyDescent="0.3">
      <c r="A391" s="2" t="s">
        <v>14</v>
      </c>
      <c r="B391" s="2" t="s">
        <v>15</v>
      </c>
      <c r="C391" s="2" t="s">
        <v>16</v>
      </c>
      <c r="D391" s="2" t="str">
        <f>("078909")</f>
        <v>078909</v>
      </c>
      <c r="E391" s="2" t="str">
        <f>("622454789098")</f>
        <v>622454789098</v>
      </c>
      <c r="G391" s="2" t="s">
        <v>446</v>
      </c>
      <c r="H391" s="5">
        <v>3805.06</v>
      </c>
      <c r="I391" s="2" t="s">
        <v>18</v>
      </c>
      <c r="J391" s="3">
        <v>43013</v>
      </c>
      <c r="K391" s="2">
        <v>0.11</v>
      </c>
      <c r="L391" s="2">
        <v>0.24299999999999999</v>
      </c>
      <c r="M391" s="2">
        <v>20</v>
      </c>
      <c r="N391" s="2" t="s">
        <v>434</v>
      </c>
    </row>
    <row r="392" spans="1:14" x14ac:dyDescent="0.3">
      <c r="A392" s="2" t="s">
        <v>14</v>
      </c>
      <c r="B392" s="2" t="s">
        <v>15</v>
      </c>
      <c r="C392" s="2" t="s">
        <v>16</v>
      </c>
      <c r="D392" s="2" t="str">
        <f>("077755")</f>
        <v>077755</v>
      </c>
      <c r="E392" s="2" t="str">
        <f>("622454777552")</f>
        <v>622454777552</v>
      </c>
      <c r="G392" s="2" t="s">
        <v>447</v>
      </c>
      <c r="H392" s="5">
        <v>511.28</v>
      </c>
      <c r="I392" s="2" t="s">
        <v>18</v>
      </c>
      <c r="J392" s="3">
        <v>43013</v>
      </c>
      <c r="K392" s="2">
        <v>1E-3</v>
      </c>
      <c r="L392" s="2">
        <v>2E-3</v>
      </c>
      <c r="M392" s="2">
        <v>1</v>
      </c>
      <c r="N392" s="2" t="s">
        <v>434</v>
      </c>
    </row>
    <row r="393" spans="1:14" x14ac:dyDescent="0.3">
      <c r="A393" s="2" t="s">
        <v>14</v>
      </c>
      <c r="B393" s="2" t="s">
        <v>15</v>
      </c>
      <c r="C393" s="2" t="s">
        <v>16</v>
      </c>
      <c r="D393" s="2" t="str">
        <f>("072225")</f>
        <v>072225</v>
      </c>
      <c r="E393" s="2" t="str">
        <f>("622454722255")</f>
        <v>622454722255</v>
      </c>
      <c r="G393" s="2" t="s">
        <v>448</v>
      </c>
      <c r="H393" s="5">
        <v>511.28</v>
      </c>
      <c r="I393" s="2" t="s">
        <v>18</v>
      </c>
      <c r="J393" s="3">
        <v>43013</v>
      </c>
      <c r="K393" s="2">
        <v>7.0000000000000007E-2</v>
      </c>
      <c r="L393" s="2">
        <v>0.154</v>
      </c>
      <c r="M393" s="2">
        <v>1</v>
      </c>
      <c r="N393" s="2" t="s">
        <v>434</v>
      </c>
    </row>
    <row r="394" spans="1:14" x14ac:dyDescent="0.3">
      <c r="A394" s="2" t="s">
        <v>14</v>
      </c>
      <c r="B394" s="2" t="s">
        <v>15</v>
      </c>
      <c r="C394" s="2" t="s">
        <v>16</v>
      </c>
      <c r="D394" s="2" t="str">
        <f>("278088")</f>
        <v>278088</v>
      </c>
      <c r="E394" s="2" t="str">
        <f>("622454271081")</f>
        <v>622454271081</v>
      </c>
      <c r="G394" s="2" t="s">
        <v>449</v>
      </c>
      <c r="H394" s="5">
        <v>781.05</v>
      </c>
      <c r="I394" s="2" t="s">
        <v>18</v>
      </c>
      <c r="J394" s="3">
        <v>43013</v>
      </c>
      <c r="K394" s="2">
        <v>0.11</v>
      </c>
      <c r="L394" s="2">
        <v>0.24299999999999999</v>
      </c>
      <c r="M394" s="2">
        <v>50</v>
      </c>
      <c r="N394" s="2" t="s">
        <v>427</v>
      </c>
    </row>
    <row r="395" spans="1:14" x14ac:dyDescent="0.3">
      <c r="A395" s="2" t="s">
        <v>14</v>
      </c>
      <c r="B395" s="2" t="s">
        <v>15</v>
      </c>
      <c r="C395" s="2" t="s">
        <v>16</v>
      </c>
      <c r="D395" s="2" t="str">
        <f>("278089")</f>
        <v>278089</v>
      </c>
      <c r="E395" s="2" t="str">
        <f>("622454271098")</f>
        <v>622454271098</v>
      </c>
      <c r="G395" s="2" t="s">
        <v>450</v>
      </c>
      <c r="H395" s="5">
        <v>781.05</v>
      </c>
      <c r="I395" s="2" t="s">
        <v>18</v>
      </c>
      <c r="J395" s="3">
        <v>43013</v>
      </c>
      <c r="K395" s="2">
        <v>9.7000000000000003E-2</v>
      </c>
      <c r="L395" s="2">
        <v>0.214</v>
      </c>
      <c r="M395" s="2">
        <v>50</v>
      </c>
      <c r="N395" s="2" t="s">
        <v>427</v>
      </c>
    </row>
    <row r="396" spans="1:14" x14ac:dyDescent="0.3">
      <c r="A396" s="2" t="s">
        <v>14</v>
      </c>
      <c r="B396" s="2" t="s">
        <v>15</v>
      </c>
      <c r="C396" s="2" t="s">
        <v>16</v>
      </c>
      <c r="D396" s="2" t="str">
        <f>("278086")</f>
        <v>278086</v>
      </c>
      <c r="E396" s="2" t="str">
        <f>("622454271067")</f>
        <v>622454271067</v>
      </c>
      <c r="G396" s="2" t="s">
        <v>451</v>
      </c>
      <c r="H396" s="5">
        <v>781.05</v>
      </c>
      <c r="I396" s="2" t="s">
        <v>18</v>
      </c>
      <c r="J396" s="3">
        <v>43013</v>
      </c>
      <c r="K396" s="2">
        <v>8.6999999999999994E-2</v>
      </c>
      <c r="L396" s="2">
        <v>0.192</v>
      </c>
      <c r="M396" s="2">
        <v>50</v>
      </c>
      <c r="N396" s="2" t="s">
        <v>427</v>
      </c>
    </row>
    <row r="397" spans="1:14" x14ac:dyDescent="0.3">
      <c r="A397" s="2" t="s">
        <v>14</v>
      </c>
      <c r="B397" s="2" t="s">
        <v>15</v>
      </c>
      <c r="C397" s="2" t="s">
        <v>16</v>
      </c>
      <c r="D397" s="2" t="str">
        <f>("278085")</f>
        <v>278085</v>
      </c>
      <c r="E397" s="2" t="str">
        <f>("622454271050")</f>
        <v>622454271050</v>
      </c>
      <c r="G397" s="2" t="s">
        <v>452</v>
      </c>
      <c r="H397" s="5">
        <v>1485.07</v>
      </c>
      <c r="I397" s="2" t="s">
        <v>18</v>
      </c>
      <c r="J397" s="3">
        <v>43013</v>
      </c>
      <c r="K397" s="2">
        <v>7.8E-2</v>
      </c>
      <c r="L397" s="2">
        <v>0.17199999999999999</v>
      </c>
      <c r="M397" s="2">
        <v>50</v>
      </c>
      <c r="N397" s="2" t="s">
        <v>427</v>
      </c>
    </row>
    <row r="398" spans="1:14" x14ac:dyDescent="0.3">
      <c r="A398" s="2" t="s">
        <v>14</v>
      </c>
      <c r="B398" s="2" t="s">
        <v>15</v>
      </c>
      <c r="C398" s="2" t="s">
        <v>16</v>
      </c>
      <c r="D398" s="2" t="str">
        <f>("278090")</f>
        <v>278090</v>
      </c>
      <c r="E398" s="2" t="str">
        <f>("622454271883")</f>
        <v>622454271883</v>
      </c>
      <c r="G398" s="2" t="s">
        <v>453</v>
      </c>
      <c r="H398" s="5">
        <v>3132.59</v>
      </c>
      <c r="I398" s="2" t="s">
        <v>18</v>
      </c>
      <c r="J398" s="3">
        <v>43013</v>
      </c>
      <c r="K398" s="2">
        <v>0.16700000000000001</v>
      </c>
      <c r="L398" s="2">
        <v>0.36799999999999999</v>
      </c>
      <c r="M398" s="2">
        <v>10</v>
      </c>
      <c r="N398" s="2" t="s">
        <v>454</v>
      </c>
    </row>
    <row r="399" spans="1:14" x14ac:dyDescent="0.3">
      <c r="A399" s="2" t="s">
        <v>14</v>
      </c>
      <c r="B399" s="2" t="s">
        <v>15</v>
      </c>
      <c r="C399" s="2" t="s">
        <v>16</v>
      </c>
      <c r="D399" s="2" t="str">
        <f>("278092")</f>
        <v>278092</v>
      </c>
      <c r="E399" s="2" t="str">
        <f>("622454272187")</f>
        <v>622454272187</v>
      </c>
      <c r="G399" s="2" t="s">
        <v>455</v>
      </c>
      <c r="H399" s="5">
        <v>2689.64</v>
      </c>
      <c r="I399" s="2" t="s">
        <v>18</v>
      </c>
      <c r="J399" s="3">
        <v>43013</v>
      </c>
      <c r="K399" s="2">
        <v>0.13500000000000001</v>
      </c>
      <c r="L399" s="2">
        <v>0.29799999999999999</v>
      </c>
      <c r="M399" s="2">
        <v>10</v>
      </c>
      <c r="N399" s="2" t="s">
        <v>454</v>
      </c>
    </row>
    <row r="400" spans="1:14" x14ac:dyDescent="0.3">
      <c r="A400" s="2" t="s">
        <v>14</v>
      </c>
      <c r="B400" s="2" t="s">
        <v>15</v>
      </c>
      <c r="C400" s="2" t="s">
        <v>16</v>
      </c>
      <c r="D400" s="2" t="str">
        <f>("278091")</f>
        <v>278091</v>
      </c>
      <c r="E400" s="2" t="str">
        <f>("622454271890")</f>
        <v>622454271890</v>
      </c>
      <c r="G400" s="2" t="s">
        <v>456</v>
      </c>
      <c r="H400" s="5">
        <v>2742.38</v>
      </c>
      <c r="I400" s="2" t="s">
        <v>18</v>
      </c>
      <c r="J400" s="3">
        <v>43013</v>
      </c>
      <c r="K400" s="2">
        <v>0.13400000000000001</v>
      </c>
      <c r="L400" s="2">
        <v>0.29499999999999998</v>
      </c>
      <c r="M400" s="2">
        <v>10</v>
      </c>
      <c r="N400" s="2" t="s">
        <v>454</v>
      </c>
    </row>
    <row r="401" spans="1:14" x14ac:dyDescent="0.3">
      <c r="A401" s="2" t="s">
        <v>14</v>
      </c>
      <c r="B401" s="2" t="s">
        <v>15</v>
      </c>
      <c r="C401" s="2" t="s">
        <v>16</v>
      </c>
      <c r="D401" s="2" t="str">
        <f>("078327")</f>
        <v>078327</v>
      </c>
      <c r="E401" s="2" t="str">
        <f>("622454783270")</f>
        <v>622454783270</v>
      </c>
      <c r="G401" s="2" t="s">
        <v>457</v>
      </c>
      <c r="H401" s="5">
        <v>2611.4899999999998</v>
      </c>
      <c r="I401" s="2" t="s">
        <v>18</v>
      </c>
      <c r="J401" s="3">
        <v>43013</v>
      </c>
      <c r="K401" s="2">
        <v>0.17699999999999999</v>
      </c>
      <c r="L401" s="2">
        <v>0.39</v>
      </c>
      <c r="M401" s="2">
        <v>15</v>
      </c>
      <c r="N401" s="2" t="s">
        <v>454</v>
      </c>
    </row>
    <row r="402" spans="1:14" x14ac:dyDescent="0.3">
      <c r="A402" s="2" t="s">
        <v>14</v>
      </c>
      <c r="B402" s="2" t="s">
        <v>15</v>
      </c>
      <c r="C402" s="2" t="s">
        <v>16</v>
      </c>
      <c r="D402" s="2" t="str">
        <f>("078335")</f>
        <v>078335</v>
      </c>
      <c r="E402" s="2" t="str">
        <f>("622454783355")</f>
        <v>622454783355</v>
      </c>
      <c r="G402" s="2" t="s">
        <v>458</v>
      </c>
      <c r="H402" s="5">
        <v>2611.4899999999998</v>
      </c>
      <c r="I402" s="2" t="s">
        <v>18</v>
      </c>
      <c r="J402" s="3">
        <v>43013</v>
      </c>
      <c r="K402" s="2">
        <v>0.19</v>
      </c>
      <c r="L402" s="2">
        <v>0.41899999999999998</v>
      </c>
      <c r="M402" s="2">
        <v>15</v>
      </c>
      <c r="N402" s="2" t="s">
        <v>454</v>
      </c>
    </row>
    <row r="403" spans="1:14" x14ac:dyDescent="0.3">
      <c r="A403" s="2" t="s">
        <v>14</v>
      </c>
      <c r="B403" s="2" t="s">
        <v>15</v>
      </c>
      <c r="C403" s="2" t="s">
        <v>16</v>
      </c>
      <c r="D403" s="2" t="str">
        <f>("172650")</f>
        <v>172650</v>
      </c>
      <c r="E403" s="2" t="str">
        <f>("622454317147")</f>
        <v>622454317147</v>
      </c>
      <c r="G403" s="2" t="s">
        <v>459</v>
      </c>
      <c r="H403" s="5">
        <v>578.07000000000005</v>
      </c>
      <c r="I403" s="2" t="s">
        <v>18</v>
      </c>
      <c r="J403" s="3">
        <v>43013</v>
      </c>
      <c r="K403" s="2">
        <v>1E-3</v>
      </c>
      <c r="L403" s="2">
        <v>2E-3</v>
      </c>
      <c r="M403" s="2">
        <v>1</v>
      </c>
      <c r="N403" s="2" t="s">
        <v>454</v>
      </c>
    </row>
    <row r="404" spans="1:14" x14ac:dyDescent="0.3">
      <c r="A404" s="2" t="s">
        <v>14</v>
      </c>
      <c r="B404" s="2" t="s">
        <v>15</v>
      </c>
      <c r="C404" s="2" t="s">
        <v>16</v>
      </c>
      <c r="D404" s="2" t="str">
        <f>("072227")</f>
        <v>072227</v>
      </c>
      <c r="E404" s="2" t="str">
        <f>("622454722279")</f>
        <v>622454722279</v>
      </c>
      <c r="G404" s="2" t="s">
        <v>460</v>
      </c>
      <c r="H404" s="5">
        <v>578.07000000000005</v>
      </c>
      <c r="I404" s="2" t="s">
        <v>18</v>
      </c>
      <c r="J404" s="3">
        <v>43013</v>
      </c>
      <c r="K404" s="2">
        <v>7.0000000000000007E-2</v>
      </c>
      <c r="L404" s="2">
        <v>0.154</v>
      </c>
      <c r="M404" s="2">
        <v>1</v>
      </c>
      <c r="N404" s="2" t="s">
        <v>454</v>
      </c>
    </row>
    <row r="405" spans="1:14" x14ac:dyDescent="0.3">
      <c r="A405" s="2" t="s">
        <v>14</v>
      </c>
      <c r="B405" s="2" t="s">
        <v>15</v>
      </c>
      <c r="C405" s="2" t="s">
        <v>16</v>
      </c>
      <c r="D405" s="2" t="str">
        <f>("278072")</f>
        <v>278072</v>
      </c>
      <c r="E405" s="2" t="str">
        <f>("622454196827")</f>
        <v>622454196827</v>
      </c>
      <c r="G405" s="2" t="s">
        <v>461</v>
      </c>
      <c r="H405" s="5">
        <v>1038.3699999999999</v>
      </c>
      <c r="I405" s="2" t="s">
        <v>18</v>
      </c>
      <c r="J405" s="3">
        <v>43013</v>
      </c>
      <c r="K405" s="2">
        <v>8.5000000000000006E-2</v>
      </c>
      <c r="L405" s="2">
        <v>0.187</v>
      </c>
      <c r="M405" s="2">
        <v>50</v>
      </c>
      <c r="N405" s="2" t="s">
        <v>462</v>
      </c>
    </row>
    <row r="406" spans="1:14" x14ac:dyDescent="0.3">
      <c r="A406" s="2" t="s">
        <v>14</v>
      </c>
      <c r="B406" s="2" t="s">
        <v>15</v>
      </c>
      <c r="C406" s="2" t="s">
        <v>16</v>
      </c>
      <c r="D406" s="2" t="str">
        <f>("278071")</f>
        <v>278071</v>
      </c>
      <c r="E406" s="2" t="str">
        <f>("622454196810")</f>
        <v>622454196810</v>
      </c>
      <c r="G406" s="2" t="s">
        <v>463</v>
      </c>
      <c r="H406" s="5">
        <v>1038.3699999999999</v>
      </c>
      <c r="I406" s="2" t="s">
        <v>18</v>
      </c>
      <c r="J406" s="3">
        <v>43013</v>
      </c>
      <c r="K406" s="2">
        <v>0.08</v>
      </c>
      <c r="L406" s="2">
        <v>0.17599999999999999</v>
      </c>
      <c r="M406" s="2">
        <v>50</v>
      </c>
      <c r="N406" s="2" t="s">
        <v>462</v>
      </c>
    </row>
    <row r="407" spans="1:14" x14ac:dyDescent="0.3">
      <c r="A407" s="2" t="s">
        <v>14</v>
      </c>
      <c r="B407" s="2" t="s">
        <v>15</v>
      </c>
      <c r="C407" s="2" t="s">
        <v>16</v>
      </c>
      <c r="D407" s="2" t="str">
        <f>("278073")</f>
        <v>278073</v>
      </c>
      <c r="E407" s="2" t="str">
        <f>("622454196834")</f>
        <v>622454196834</v>
      </c>
      <c r="G407" s="2" t="s">
        <v>464</v>
      </c>
      <c r="H407" s="5">
        <v>1038.3699999999999</v>
      </c>
      <c r="I407" s="2" t="s">
        <v>18</v>
      </c>
      <c r="J407" s="3">
        <v>43013</v>
      </c>
      <c r="K407" s="2">
        <v>0.08</v>
      </c>
      <c r="L407" s="2">
        <v>0.17599999999999999</v>
      </c>
      <c r="M407" s="2">
        <v>50</v>
      </c>
      <c r="N407" s="2" t="s">
        <v>462</v>
      </c>
    </row>
    <row r="408" spans="1:14" x14ac:dyDescent="0.3">
      <c r="A408" s="2" t="s">
        <v>14</v>
      </c>
      <c r="B408" s="2" t="s">
        <v>15</v>
      </c>
      <c r="C408" s="2" t="s">
        <v>16</v>
      </c>
      <c r="D408" s="2" t="str">
        <f>("278070")</f>
        <v>278070</v>
      </c>
      <c r="E408" s="2" t="str">
        <f>("622454196803")</f>
        <v>622454196803</v>
      </c>
      <c r="G408" s="2" t="s">
        <v>465</v>
      </c>
      <c r="H408" s="5">
        <v>1038.3699999999999</v>
      </c>
      <c r="I408" s="2" t="s">
        <v>18</v>
      </c>
      <c r="J408" s="3">
        <v>43013</v>
      </c>
      <c r="K408" s="2">
        <v>7.4999999999999997E-2</v>
      </c>
      <c r="L408" s="2">
        <v>0.16500000000000001</v>
      </c>
      <c r="M408" s="2">
        <v>50</v>
      </c>
      <c r="N408" s="2" t="s">
        <v>462</v>
      </c>
    </row>
    <row r="409" spans="1:14" x14ac:dyDescent="0.3">
      <c r="A409" s="2" t="s">
        <v>14</v>
      </c>
      <c r="B409" s="2" t="s">
        <v>15</v>
      </c>
      <c r="C409" s="2" t="s">
        <v>16</v>
      </c>
      <c r="D409" s="2" t="str">
        <f>("278074")</f>
        <v>278074</v>
      </c>
      <c r="E409" s="2" t="str">
        <f>("622454196841")</f>
        <v>622454196841</v>
      </c>
      <c r="G409" s="2" t="s">
        <v>466</v>
      </c>
      <c r="H409" s="5">
        <v>2040.42</v>
      </c>
      <c r="I409" s="2" t="s">
        <v>18</v>
      </c>
      <c r="J409" s="3">
        <v>43013</v>
      </c>
      <c r="K409" s="2">
        <v>0.1</v>
      </c>
      <c r="L409" s="2">
        <v>0.22</v>
      </c>
      <c r="M409" s="2">
        <v>50</v>
      </c>
      <c r="N409" s="2" t="s">
        <v>462</v>
      </c>
    </row>
    <row r="410" spans="1:14" x14ac:dyDescent="0.3">
      <c r="A410" s="2" t="s">
        <v>14</v>
      </c>
      <c r="B410" s="2" t="s">
        <v>15</v>
      </c>
      <c r="C410" s="2" t="s">
        <v>16</v>
      </c>
      <c r="D410" s="2" t="str">
        <f>("077749")</f>
        <v>077749</v>
      </c>
      <c r="E410" s="2" t="str">
        <f>("622454777491")</f>
        <v>622454777491</v>
      </c>
      <c r="G410" s="2" t="s">
        <v>467</v>
      </c>
      <c r="H410" s="5">
        <v>926.37</v>
      </c>
      <c r="I410" s="2" t="s">
        <v>18</v>
      </c>
      <c r="J410" s="3">
        <v>43013</v>
      </c>
      <c r="K410" s="2">
        <v>1E-3</v>
      </c>
      <c r="L410" s="2">
        <v>2E-3</v>
      </c>
      <c r="M410" s="2">
        <v>50</v>
      </c>
      <c r="N410" s="2" t="s">
        <v>462</v>
      </c>
    </row>
    <row r="411" spans="1:14" x14ac:dyDescent="0.3">
      <c r="A411" s="2" t="s">
        <v>14</v>
      </c>
      <c r="B411" s="2" t="s">
        <v>15</v>
      </c>
      <c r="C411" s="2" t="s">
        <v>16</v>
      </c>
      <c r="D411" s="2" t="str">
        <f>("078375")</f>
        <v>078375</v>
      </c>
      <c r="E411" s="2" t="str">
        <f>("622454783751")</f>
        <v>622454783751</v>
      </c>
      <c r="G411" s="2" t="s">
        <v>468</v>
      </c>
      <c r="H411" s="5">
        <v>82.37</v>
      </c>
      <c r="I411" s="2" t="s">
        <v>18</v>
      </c>
      <c r="J411" s="3">
        <v>43013</v>
      </c>
      <c r="K411" s="2">
        <v>5.0000000000000001E-3</v>
      </c>
      <c r="L411" s="2">
        <v>1.0999999999999999E-2</v>
      </c>
      <c r="M411" s="2">
        <v>4100</v>
      </c>
      <c r="N411" s="2" t="s">
        <v>469</v>
      </c>
    </row>
    <row r="412" spans="1:14" x14ac:dyDescent="0.3">
      <c r="A412" s="2" t="s">
        <v>14</v>
      </c>
      <c r="B412" s="2" t="s">
        <v>15</v>
      </c>
      <c r="C412" s="2" t="s">
        <v>16</v>
      </c>
      <c r="D412" s="2" t="str">
        <f>("078376")</f>
        <v>078376</v>
      </c>
      <c r="E412" s="2" t="str">
        <f>("622454783768")</f>
        <v>622454783768</v>
      </c>
      <c r="G412" s="2" t="s">
        <v>470</v>
      </c>
      <c r="H412" s="5">
        <v>97.56</v>
      </c>
      <c r="I412" s="2" t="s">
        <v>18</v>
      </c>
      <c r="J412" s="3">
        <v>43013</v>
      </c>
      <c r="K412" s="2">
        <v>6.0000000000000001E-3</v>
      </c>
      <c r="L412" s="2">
        <v>1.2999999999999999E-2</v>
      </c>
      <c r="M412" s="2">
        <v>4100</v>
      </c>
      <c r="N412" s="2" t="s">
        <v>469</v>
      </c>
    </row>
    <row r="413" spans="1:14" x14ac:dyDescent="0.3">
      <c r="A413" s="2" t="s">
        <v>14</v>
      </c>
      <c r="B413" s="2" t="s">
        <v>15</v>
      </c>
      <c r="C413" s="2" t="s">
        <v>16</v>
      </c>
      <c r="D413" s="2" t="str">
        <f>("078377")</f>
        <v>078377</v>
      </c>
      <c r="E413" s="2" t="str">
        <f>("622454783775")</f>
        <v>622454783775</v>
      </c>
      <c r="G413" s="2" t="s">
        <v>471</v>
      </c>
      <c r="H413" s="5">
        <v>120.14</v>
      </c>
      <c r="I413" s="2" t="s">
        <v>18</v>
      </c>
      <c r="J413" s="3">
        <v>43013</v>
      </c>
      <c r="K413" s="2">
        <v>8.0000000000000002E-3</v>
      </c>
      <c r="L413" s="2">
        <v>1.7999999999999999E-2</v>
      </c>
      <c r="M413" s="2">
        <v>5100</v>
      </c>
      <c r="N413" s="2" t="s">
        <v>469</v>
      </c>
    </row>
    <row r="414" spans="1:14" x14ac:dyDescent="0.3">
      <c r="A414" s="2" t="s">
        <v>14</v>
      </c>
      <c r="B414" s="2" t="s">
        <v>15</v>
      </c>
      <c r="C414" s="2" t="s">
        <v>16</v>
      </c>
      <c r="D414" s="2" t="str">
        <f>("078378")</f>
        <v>078378</v>
      </c>
      <c r="E414" s="2" t="str">
        <f>("622454783782")</f>
        <v>622454783782</v>
      </c>
      <c r="G414" s="2" t="s">
        <v>472</v>
      </c>
      <c r="H414" s="5">
        <v>130.02000000000001</v>
      </c>
      <c r="I414" s="2" t="s">
        <v>18</v>
      </c>
      <c r="J414" s="3">
        <v>43013</v>
      </c>
      <c r="K414" s="2">
        <v>1.0999999999999999E-2</v>
      </c>
      <c r="L414" s="2">
        <v>2.4E-2</v>
      </c>
      <c r="M414" s="2">
        <v>850</v>
      </c>
      <c r="N414" s="2" t="s">
        <v>469</v>
      </c>
    </row>
    <row r="415" spans="1:14" x14ac:dyDescent="0.3">
      <c r="A415" s="2" t="s">
        <v>14</v>
      </c>
      <c r="B415" s="2" t="s">
        <v>15</v>
      </c>
      <c r="C415" s="2" t="s">
        <v>16</v>
      </c>
      <c r="D415" s="2" t="str">
        <f>("078379")</f>
        <v>078379</v>
      </c>
      <c r="E415" s="2" t="str">
        <f>("622454783799")</f>
        <v>622454783799</v>
      </c>
      <c r="G415" s="2" t="s">
        <v>473</v>
      </c>
      <c r="H415" s="5">
        <v>152.72999999999999</v>
      </c>
      <c r="I415" s="2" t="s">
        <v>18</v>
      </c>
      <c r="J415" s="3">
        <v>43013</v>
      </c>
      <c r="K415" s="2">
        <v>1.4E-2</v>
      </c>
      <c r="L415" s="2">
        <v>3.1E-2</v>
      </c>
      <c r="M415" s="2">
        <v>925</v>
      </c>
      <c r="N415" s="2" t="s">
        <v>469</v>
      </c>
    </row>
    <row r="416" spans="1:14" x14ac:dyDescent="0.3">
      <c r="A416" s="2" t="s">
        <v>14</v>
      </c>
      <c r="B416" s="2" t="s">
        <v>15</v>
      </c>
      <c r="C416" s="2" t="s">
        <v>16</v>
      </c>
      <c r="D416" s="2" t="str">
        <f>("078380")</f>
        <v>078380</v>
      </c>
      <c r="E416" s="2" t="str">
        <f>("622454783805")</f>
        <v>622454783805</v>
      </c>
      <c r="G416" s="2" t="s">
        <v>474</v>
      </c>
      <c r="H416" s="5">
        <v>198.81</v>
      </c>
      <c r="I416" s="2" t="s">
        <v>18</v>
      </c>
      <c r="J416" s="3">
        <v>43013</v>
      </c>
      <c r="K416" s="2">
        <v>1.9E-2</v>
      </c>
      <c r="L416" s="2">
        <v>4.2000000000000003E-2</v>
      </c>
      <c r="M416" s="2">
        <v>825</v>
      </c>
      <c r="N416" s="2" t="s">
        <v>469</v>
      </c>
    </row>
    <row r="417" spans="1:14" x14ac:dyDescent="0.3">
      <c r="A417" s="2" t="s">
        <v>14</v>
      </c>
      <c r="B417" s="2" t="s">
        <v>15</v>
      </c>
      <c r="C417" s="2" t="s">
        <v>16</v>
      </c>
      <c r="D417" s="2" t="str">
        <f>("178108")</f>
        <v>178108</v>
      </c>
      <c r="E417" s="2" t="str">
        <f>("622454199682")</f>
        <v>622454199682</v>
      </c>
      <c r="G417" s="2" t="s">
        <v>475</v>
      </c>
      <c r="H417" s="5">
        <v>412.72</v>
      </c>
      <c r="I417" s="2" t="s">
        <v>18</v>
      </c>
      <c r="J417" s="3">
        <v>43013</v>
      </c>
      <c r="K417" s="2">
        <v>2.9000000000000001E-2</v>
      </c>
      <c r="L417" s="2">
        <v>6.4000000000000001E-2</v>
      </c>
      <c r="M417" s="2">
        <v>100</v>
      </c>
      <c r="N417" s="2" t="s">
        <v>469</v>
      </c>
    </row>
    <row r="418" spans="1:14" x14ac:dyDescent="0.3">
      <c r="A418" s="2" t="s">
        <v>14</v>
      </c>
      <c r="B418" s="2" t="s">
        <v>15</v>
      </c>
      <c r="C418" s="2" t="s">
        <v>16</v>
      </c>
      <c r="D418" s="2" t="str">
        <f>("178109")</f>
        <v>178109</v>
      </c>
      <c r="E418" s="2" t="str">
        <f>("622454199699")</f>
        <v>622454199699</v>
      </c>
      <c r="G418" s="2" t="s">
        <v>476</v>
      </c>
      <c r="H418" s="5">
        <v>741.63</v>
      </c>
      <c r="I418" s="2" t="s">
        <v>18</v>
      </c>
      <c r="J418" s="3">
        <v>43013</v>
      </c>
      <c r="K418" s="2">
        <v>3.4000000000000002E-2</v>
      </c>
      <c r="L418" s="2">
        <v>7.4999999999999997E-2</v>
      </c>
      <c r="M418" s="2">
        <v>100</v>
      </c>
      <c r="N418" s="2" t="s">
        <v>469</v>
      </c>
    </row>
    <row r="419" spans="1:14" x14ac:dyDescent="0.3">
      <c r="A419" s="2" t="s">
        <v>14</v>
      </c>
      <c r="B419" s="2" t="s">
        <v>15</v>
      </c>
      <c r="C419" s="2" t="s">
        <v>16</v>
      </c>
      <c r="D419" s="2" t="str">
        <f>("178110")</f>
        <v>178110</v>
      </c>
      <c r="E419" s="2" t="str">
        <f>("622454199705")</f>
        <v>622454199705</v>
      </c>
      <c r="G419" s="2" t="s">
        <v>477</v>
      </c>
      <c r="H419" s="5">
        <v>836.88</v>
      </c>
      <c r="I419" s="2" t="s">
        <v>18</v>
      </c>
      <c r="J419" s="3">
        <v>43013</v>
      </c>
      <c r="K419" s="2">
        <v>4.3999999999999997E-2</v>
      </c>
      <c r="L419" s="2">
        <v>9.7000000000000003E-2</v>
      </c>
      <c r="M419" s="2">
        <v>50</v>
      </c>
      <c r="N419" s="2" t="s">
        <v>469</v>
      </c>
    </row>
    <row r="420" spans="1:14" x14ac:dyDescent="0.3">
      <c r="A420" s="2" t="s">
        <v>14</v>
      </c>
      <c r="B420" s="2" t="s">
        <v>15</v>
      </c>
      <c r="C420" s="2" t="s">
        <v>16</v>
      </c>
      <c r="D420" s="2" t="str">
        <f>("078190")</f>
        <v>078190</v>
      </c>
      <c r="E420" s="2" t="str">
        <f>("622454781900")</f>
        <v>622454781900</v>
      </c>
      <c r="G420" s="2" t="s">
        <v>478</v>
      </c>
      <c r="H420" s="5">
        <v>1026.74</v>
      </c>
      <c r="I420" s="2" t="s">
        <v>18</v>
      </c>
      <c r="J420" s="3">
        <v>43013</v>
      </c>
      <c r="K420" s="2">
        <v>2.5000000000000001E-2</v>
      </c>
      <c r="L420" s="2">
        <v>5.5E-2</v>
      </c>
      <c r="M420" s="2">
        <v>50</v>
      </c>
      <c r="N420" s="2" t="s">
        <v>479</v>
      </c>
    </row>
    <row r="421" spans="1:14" x14ac:dyDescent="0.3">
      <c r="A421" s="2" t="s">
        <v>14</v>
      </c>
      <c r="B421" s="2" t="s">
        <v>15</v>
      </c>
      <c r="C421" s="2" t="s">
        <v>16</v>
      </c>
      <c r="D421" s="2" t="str">
        <f>("078191")</f>
        <v>078191</v>
      </c>
      <c r="E421" s="2" t="str">
        <f>("622454781917")</f>
        <v>622454781917</v>
      </c>
      <c r="G421" s="2" t="s">
        <v>480</v>
      </c>
      <c r="H421" s="5">
        <v>1026.74</v>
      </c>
      <c r="I421" s="2" t="s">
        <v>18</v>
      </c>
      <c r="J421" s="3">
        <v>43013</v>
      </c>
      <c r="K421" s="2">
        <v>0.108</v>
      </c>
      <c r="L421" s="2">
        <v>0.23799999999999999</v>
      </c>
      <c r="M421" s="2">
        <v>50</v>
      </c>
      <c r="N421" s="2" t="s">
        <v>479</v>
      </c>
    </row>
    <row r="422" spans="1:14" x14ac:dyDescent="0.3">
      <c r="A422" s="2" t="s">
        <v>14</v>
      </c>
      <c r="B422" s="2" t="s">
        <v>15</v>
      </c>
      <c r="C422" s="2" t="s">
        <v>16</v>
      </c>
      <c r="D422" s="2" t="str">
        <f>("078192")</f>
        <v>078192</v>
      </c>
      <c r="E422" s="2" t="str">
        <f>("622454781924")</f>
        <v>622454781924</v>
      </c>
      <c r="G422" s="2" t="s">
        <v>481</v>
      </c>
      <c r="H422" s="5">
        <v>1196.55</v>
      </c>
      <c r="I422" s="2" t="s">
        <v>18</v>
      </c>
      <c r="J422" s="3">
        <v>43013</v>
      </c>
      <c r="K422" s="2">
        <v>0.127</v>
      </c>
      <c r="L422" s="2">
        <v>0.28000000000000003</v>
      </c>
      <c r="M422" s="2">
        <v>25</v>
      </c>
      <c r="N422" s="2" t="s">
        <v>479</v>
      </c>
    </row>
    <row r="423" spans="1:14" x14ac:dyDescent="0.3">
      <c r="A423" s="2" t="s">
        <v>14</v>
      </c>
      <c r="B423" s="2" t="s">
        <v>15</v>
      </c>
      <c r="C423" s="2" t="s">
        <v>16</v>
      </c>
      <c r="D423" s="2" t="str">
        <f>("078193")</f>
        <v>078193</v>
      </c>
      <c r="E423" s="2" t="str">
        <f>("622454781931")</f>
        <v>622454781931</v>
      </c>
      <c r="G423" s="2" t="s">
        <v>482</v>
      </c>
      <c r="H423" s="5">
        <v>1516.44</v>
      </c>
      <c r="I423" s="2" t="s">
        <v>18</v>
      </c>
      <c r="J423" s="3">
        <v>43013</v>
      </c>
      <c r="K423" s="2">
        <v>0.16300000000000001</v>
      </c>
      <c r="L423" s="2">
        <v>0.35899999999999999</v>
      </c>
      <c r="M423" s="2">
        <v>25</v>
      </c>
      <c r="N423" s="2" t="s">
        <v>479</v>
      </c>
    </row>
    <row r="424" spans="1:14" x14ac:dyDescent="0.3">
      <c r="A424" s="2" t="s">
        <v>14</v>
      </c>
      <c r="B424" s="2" t="s">
        <v>15</v>
      </c>
      <c r="C424" s="2" t="s">
        <v>16</v>
      </c>
      <c r="D424" s="2" t="str">
        <f>("078194")</f>
        <v>078194</v>
      </c>
      <c r="E424" s="2" t="str">
        <f>("622454781948")</f>
        <v>622454781948</v>
      </c>
      <c r="G424" s="2" t="s">
        <v>483</v>
      </c>
      <c r="H424" s="5">
        <v>1729.67</v>
      </c>
      <c r="I424" s="2" t="s">
        <v>18</v>
      </c>
      <c r="J424" s="3">
        <v>43013</v>
      </c>
      <c r="K424" s="2">
        <v>0.14899999999999999</v>
      </c>
      <c r="L424" s="2">
        <v>0.32800000000000001</v>
      </c>
      <c r="M424" s="2">
        <v>15</v>
      </c>
      <c r="N424" s="2" t="s">
        <v>479</v>
      </c>
    </row>
    <row r="425" spans="1:14" x14ac:dyDescent="0.3">
      <c r="A425" s="2" t="s">
        <v>14</v>
      </c>
      <c r="B425" s="2" t="s">
        <v>15</v>
      </c>
      <c r="C425" s="2" t="s">
        <v>16</v>
      </c>
      <c r="D425" s="2" t="str">
        <f>("078195")</f>
        <v>078195</v>
      </c>
      <c r="E425" s="2" t="str">
        <f>("622454781955")</f>
        <v>622454781955</v>
      </c>
      <c r="G425" s="2" t="s">
        <v>484</v>
      </c>
      <c r="H425" s="5">
        <v>1828.4</v>
      </c>
      <c r="I425" s="2" t="s">
        <v>18</v>
      </c>
      <c r="J425" s="3">
        <v>43013</v>
      </c>
      <c r="K425" s="2">
        <v>0.09</v>
      </c>
      <c r="L425" s="2">
        <v>0.19800000000000001</v>
      </c>
      <c r="M425" s="2">
        <v>10</v>
      </c>
      <c r="N425" s="2" t="s">
        <v>479</v>
      </c>
    </row>
    <row r="426" spans="1:14" x14ac:dyDescent="0.3">
      <c r="A426" s="2" t="s">
        <v>14</v>
      </c>
      <c r="B426" s="2" t="s">
        <v>15</v>
      </c>
      <c r="C426" s="2" t="s">
        <v>16</v>
      </c>
      <c r="D426" s="2" t="str">
        <f>("078196")</f>
        <v>078196</v>
      </c>
      <c r="E426" s="2" t="str">
        <f>("622454781962")</f>
        <v>622454781962</v>
      </c>
      <c r="G426" s="2" t="s">
        <v>485</v>
      </c>
      <c r="H426" s="5">
        <v>3427.76</v>
      </c>
      <c r="I426" s="2" t="s">
        <v>18</v>
      </c>
      <c r="J426" s="3">
        <v>43013</v>
      </c>
      <c r="K426" s="2">
        <v>0.09</v>
      </c>
      <c r="L426" s="2">
        <v>0.19800000000000001</v>
      </c>
      <c r="M426" s="2">
        <v>5</v>
      </c>
      <c r="N426" s="2" t="s">
        <v>479</v>
      </c>
    </row>
    <row r="427" spans="1:14" x14ac:dyDescent="0.3">
      <c r="A427" s="2" t="s">
        <v>14</v>
      </c>
      <c r="B427" s="2" t="s">
        <v>15</v>
      </c>
      <c r="C427" s="2" t="s">
        <v>16</v>
      </c>
      <c r="D427" s="2" t="str">
        <f>("278106")</f>
        <v>278106</v>
      </c>
      <c r="E427" s="2" t="str">
        <f>("622454272361")</f>
        <v>622454272361</v>
      </c>
      <c r="G427" s="2" t="s">
        <v>486</v>
      </c>
      <c r="H427" s="5">
        <v>70.459999999999994</v>
      </c>
      <c r="I427" s="2" t="s">
        <v>18</v>
      </c>
      <c r="J427" s="3">
        <v>43013</v>
      </c>
      <c r="K427" s="2">
        <v>2.3E-2</v>
      </c>
      <c r="L427" s="2">
        <v>5.0999999999999997E-2</v>
      </c>
      <c r="M427" s="2">
        <v>100</v>
      </c>
      <c r="N427" s="2" t="s">
        <v>487</v>
      </c>
    </row>
    <row r="428" spans="1:14" x14ac:dyDescent="0.3">
      <c r="A428" s="2" t="s">
        <v>14</v>
      </c>
      <c r="B428" s="2" t="s">
        <v>15</v>
      </c>
      <c r="C428" s="2" t="s">
        <v>16</v>
      </c>
      <c r="D428" s="2" t="str">
        <f>("278095")</f>
        <v>278095</v>
      </c>
      <c r="E428" s="2" t="str">
        <f>("622454270916")</f>
        <v>622454270916</v>
      </c>
      <c r="G428" s="2" t="s">
        <v>488</v>
      </c>
      <c r="H428" s="5">
        <v>72.58</v>
      </c>
      <c r="I428" s="2" t="s">
        <v>18</v>
      </c>
      <c r="J428" s="3">
        <v>43013</v>
      </c>
      <c r="K428" s="2">
        <v>2.8000000000000001E-2</v>
      </c>
      <c r="L428" s="2">
        <v>6.2E-2</v>
      </c>
      <c r="M428" s="2">
        <v>70</v>
      </c>
      <c r="N428" s="2" t="s">
        <v>487</v>
      </c>
    </row>
    <row r="429" spans="1:14" x14ac:dyDescent="0.3">
      <c r="A429" s="2" t="s">
        <v>14</v>
      </c>
      <c r="B429" s="2" t="s">
        <v>15</v>
      </c>
      <c r="C429" s="2" t="s">
        <v>16</v>
      </c>
      <c r="D429" s="2" t="str">
        <f>("278096")</f>
        <v>278096</v>
      </c>
      <c r="E429" s="2" t="str">
        <f>("622454270923")</f>
        <v>622454270923</v>
      </c>
      <c r="G429" s="2" t="s">
        <v>489</v>
      </c>
      <c r="H429" s="5">
        <v>123.38</v>
      </c>
      <c r="I429" s="2" t="s">
        <v>18</v>
      </c>
      <c r="J429" s="3">
        <v>43013</v>
      </c>
      <c r="K429" s="2">
        <v>4.1000000000000002E-2</v>
      </c>
      <c r="L429" s="2">
        <v>0.09</v>
      </c>
      <c r="M429" s="2">
        <v>50</v>
      </c>
      <c r="N429" s="2" t="s">
        <v>487</v>
      </c>
    </row>
    <row r="430" spans="1:14" x14ac:dyDescent="0.3">
      <c r="A430" s="2" t="s">
        <v>14</v>
      </c>
      <c r="B430" s="2" t="s">
        <v>15</v>
      </c>
      <c r="C430" s="2" t="s">
        <v>16</v>
      </c>
      <c r="D430" s="2" t="str">
        <f>("278097")</f>
        <v>278097</v>
      </c>
      <c r="E430" s="2" t="str">
        <f>("622454270930")</f>
        <v>622454270930</v>
      </c>
      <c r="G430" s="2" t="s">
        <v>490</v>
      </c>
      <c r="H430" s="5">
        <v>152.33000000000001</v>
      </c>
      <c r="I430" s="2" t="s">
        <v>18</v>
      </c>
      <c r="J430" s="3">
        <v>43013</v>
      </c>
      <c r="K430" s="2">
        <v>4.5999999999999999E-2</v>
      </c>
      <c r="L430" s="2">
        <v>0.10100000000000001</v>
      </c>
      <c r="M430" s="2">
        <v>30</v>
      </c>
      <c r="N430" s="2" t="s">
        <v>487</v>
      </c>
    </row>
    <row r="431" spans="1:14" x14ac:dyDescent="0.3">
      <c r="A431" s="2" t="s">
        <v>14</v>
      </c>
      <c r="B431" s="2" t="s">
        <v>15</v>
      </c>
      <c r="C431" s="2" t="s">
        <v>16</v>
      </c>
      <c r="D431" s="2" t="str">
        <f>("278098")</f>
        <v>278098</v>
      </c>
      <c r="E431" s="2" t="str">
        <f>("622454271012")</f>
        <v>622454271012</v>
      </c>
      <c r="G431" s="2" t="s">
        <v>491</v>
      </c>
      <c r="H431" s="5">
        <v>195.62</v>
      </c>
      <c r="I431" s="2" t="s">
        <v>18</v>
      </c>
      <c r="J431" s="3">
        <v>43013</v>
      </c>
      <c r="K431" s="2">
        <v>5.0999999999999997E-2</v>
      </c>
      <c r="L431" s="2">
        <v>0.112</v>
      </c>
      <c r="M431" s="2">
        <v>25</v>
      </c>
      <c r="N431" s="2" t="s">
        <v>487</v>
      </c>
    </row>
    <row r="432" spans="1:14" x14ac:dyDescent="0.3">
      <c r="A432" s="2" t="s">
        <v>14</v>
      </c>
      <c r="B432" s="2" t="s">
        <v>15</v>
      </c>
      <c r="C432" s="2" t="s">
        <v>16</v>
      </c>
      <c r="D432" s="2" t="str">
        <f>("278099")</f>
        <v>278099</v>
      </c>
      <c r="E432" s="2" t="str">
        <f>("622454271029")</f>
        <v>622454271029</v>
      </c>
      <c r="G432" s="2" t="s">
        <v>492</v>
      </c>
      <c r="H432" s="5">
        <v>205.63</v>
      </c>
      <c r="I432" s="2" t="s">
        <v>18</v>
      </c>
      <c r="J432" s="3">
        <v>43013</v>
      </c>
      <c r="K432" s="2">
        <v>7.0999999999999994E-2</v>
      </c>
      <c r="L432" s="2">
        <v>0.157</v>
      </c>
      <c r="M432" s="2">
        <v>20</v>
      </c>
      <c r="N432" s="2" t="s">
        <v>487</v>
      </c>
    </row>
    <row r="433" spans="1:14" x14ac:dyDescent="0.3">
      <c r="A433" s="2" t="s">
        <v>14</v>
      </c>
      <c r="B433" s="2" t="s">
        <v>15</v>
      </c>
      <c r="C433" s="2" t="s">
        <v>16</v>
      </c>
      <c r="D433" s="2" t="str">
        <f>("278107")</f>
        <v>278107</v>
      </c>
      <c r="E433" s="2" t="str">
        <f>("622454273832")</f>
        <v>622454273832</v>
      </c>
      <c r="G433" s="2" t="s">
        <v>493</v>
      </c>
      <c r="H433" s="5">
        <v>84.67</v>
      </c>
      <c r="I433" s="2" t="s">
        <v>18</v>
      </c>
      <c r="J433" s="3">
        <v>43013</v>
      </c>
      <c r="K433" s="2">
        <v>1.4E-2</v>
      </c>
      <c r="L433" s="2">
        <v>3.1E-2</v>
      </c>
      <c r="M433" s="2">
        <v>450</v>
      </c>
      <c r="N433" s="2" t="s">
        <v>487</v>
      </c>
    </row>
    <row r="434" spans="1:14" x14ac:dyDescent="0.3">
      <c r="A434" s="2" t="s">
        <v>14</v>
      </c>
      <c r="B434" s="2" t="s">
        <v>15</v>
      </c>
      <c r="C434" s="2" t="s">
        <v>16</v>
      </c>
      <c r="D434" s="2" t="str">
        <f>("078288")</f>
        <v>078288</v>
      </c>
      <c r="E434" s="2" t="str">
        <f>("622454782884")</f>
        <v>622454782884</v>
      </c>
      <c r="G434" s="2" t="s">
        <v>494</v>
      </c>
      <c r="H434" s="5">
        <v>617.54</v>
      </c>
      <c r="I434" s="2" t="s">
        <v>18</v>
      </c>
      <c r="J434" s="3">
        <v>43013</v>
      </c>
      <c r="K434" s="2">
        <v>8.9999999999999993E-3</v>
      </c>
      <c r="L434" s="2">
        <v>0.02</v>
      </c>
      <c r="M434" s="2">
        <v>200</v>
      </c>
      <c r="N434" s="2" t="s">
        <v>495</v>
      </c>
    </row>
    <row r="435" spans="1:14" x14ac:dyDescent="0.3">
      <c r="A435" s="2" t="s">
        <v>14</v>
      </c>
      <c r="B435" s="2" t="s">
        <v>15</v>
      </c>
      <c r="C435" s="2" t="s">
        <v>16</v>
      </c>
      <c r="D435" s="2" t="str">
        <f>("078289")</f>
        <v>078289</v>
      </c>
      <c r="E435" s="2" t="str">
        <f>("622454782891")</f>
        <v>622454782891</v>
      </c>
      <c r="G435" s="2" t="s">
        <v>496</v>
      </c>
      <c r="H435" s="5">
        <v>686.56</v>
      </c>
      <c r="I435" s="2" t="s">
        <v>18</v>
      </c>
      <c r="J435" s="3">
        <v>43013</v>
      </c>
      <c r="K435" s="2">
        <v>1.7999999999999999E-2</v>
      </c>
      <c r="L435" s="2">
        <v>0.04</v>
      </c>
      <c r="M435" s="2">
        <v>200</v>
      </c>
      <c r="N435" s="2" t="s">
        <v>495</v>
      </c>
    </row>
    <row r="436" spans="1:14" x14ac:dyDescent="0.3">
      <c r="A436" s="2" t="s">
        <v>14</v>
      </c>
      <c r="B436" s="2" t="s">
        <v>15</v>
      </c>
      <c r="C436" s="2" t="s">
        <v>16</v>
      </c>
      <c r="D436" s="2" t="str">
        <f>("078290")</f>
        <v>078290</v>
      </c>
      <c r="E436" s="2" t="str">
        <f>("622454782907")</f>
        <v>622454782907</v>
      </c>
      <c r="G436" s="2" t="s">
        <v>497</v>
      </c>
      <c r="H436" s="5">
        <v>811.9</v>
      </c>
      <c r="I436" s="2" t="s">
        <v>18</v>
      </c>
      <c r="J436" s="3">
        <v>43013</v>
      </c>
      <c r="K436" s="2">
        <v>2.4E-2</v>
      </c>
      <c r="L436" s="2">
        <v>5.2999999999999999E-2</v>
      </c>
      <c r="M436" s="2">
        <v>100</v>
      </c>
      <c r="N436" s="2" t="s">
        <v>495</v>
      </c>
    </row>
    <row r="437" spans="1:14" x14ac:dyDescent="0.3">
      <c r="A437" s="2" t="s">
        <v>14</v>
      </c>
      <c r="B437" s="2" t="s">
        <v>15</v>
      </c>
      <c r="C437" s="2" t="s">
        <v>16</v>
      </c>
      <c r="D437" s="2" t="str">
        <f>("078291")</f>
        <v>078291</v>
      </c>
      <c r="E437" s="2" t="str">
        <f>("622454782914")</f>
        <v>622454782914</v>
      </c>
      <c r="G437" s="2" t="s">
        <v>498</v>
      </c>
      <c r="H437" s="5">
        <v>991.93</v>
      </c>
      <c r="I437" s="2" t="s">
        <v>18</v>
      </c>
      <c r="J437" s="3">
        <v>43013</v>
      </c>
      <c r="K437" s="2">
        <v>2.5000000000000001E-2</v>
      </c>
      <c r="L437" s="2">
        <v>5.5E-2</v>
      </c>
      <c r="M437" s="2">
        <v>100</v>
      </c>
      <c r="N437" s="2" t="s">
        <v>495</v>
      </c>
    </row>
    <row r="438" spans="1:14" x14ac:dyDescent="0.3">
      <c r="A438" s="2" t="s">
        <v>14</v>
      </c>
      <c r="B438" s="2" t="s">
        <v>15</v>
      </c>
      <c r="C438" s="2" t="s">
        <v>16</v>
      </c>
      <c r="D438" s="2" t="str">
        <f>("078292")</f>
        <v>078292</v>
      </c>
      <c r="E438" s="2" t="str">
        <f>("622454782921")</f>
        <v>622454782921</v>
      </c>
      <c r="G438" s="2" t="s">
        <v>499</v>
      </c>
      <c r="H438" s="5">
        <v>1040.97</v>
      </c>
      <c r="I438" s="2" t="s">
        <v>18</v>
      </c>
      <c r="J438" s="3">
        <v>43013</v>
      </c>
      <c r="K438" s="2">
        <v>3.5999999999999997E-2</v>
      </c>
      <c r="L438" s="2">
        <v>7.9000000000000001E-2</v>
      </c>
      <c r="M438" s="2">
        <v>50</v>
      </c>
      <c r="N438" s="2" t="s">
        <v>495</v>
      </c>
    </row>
    <row r="439" spans="1:14" x14ac:dyDescent="0.3">
      <c r="A439" s="2" t="s">
        <v>14</v>
      </c>
      <c r="B439" s="2" t="s">
        <v>15</v>
      </c>
      <c r="C439" s="2" t="s">
        <v>16</v>
      </c>
      <c r="D439" s="2" t="str">
        <f>("078293")</f>
        <v>078293</v>
      </c>
      <c r="E439" s="2" t="str">
        <f>("622454782938")</f>
        <v>622454782938</v>
      </c>
      <c r="G439" s="2" t="s">
        <v>500</v>
      </c>
      <c r="H439" s="5">
        <v>1485.11</v>
      </c>
      <c r="I439" s="2" t="s">
        <v>18</v>
      </c>
      <c r="J439" s="3">
        <v>43013</v>
      </c>
      <c r="K439" s="2">
        <v>4.3999999999999997E-2</v>
      </c>
      <c r="L439" s="2">
        <v>9.7000000000000003E-2</v>
      </c>
      <c r="M439" s="2">
        <v>40</v>
      </c>
      <c r="N439" s="2" t="s">
        <v>495</v>
      </c>
    </row>
    <row r="440" spans="1:14" x14ac:dyDescent="0.3">
      <c r="A440" s="2" t="s">
        <v>14</v>
      </c>
      <c r="B440" s="2" t="s">
        <v>15</v>
      </c>
      <c r="C440" s="2" t="s">
        <v>16</v>
      </c>
      <c r="D440" s="2" t="str">
        <f>("078294")</f>
        <v>078294</v>
      </c>
      <c r="E440" s="2" t="str">
        <f>("622454782945")</f>
        <v>622454782945</v>
      </c>
      <c r="G440" s="2" t="s">
        <v>501</v>
      </c>
      <c r="H440" s="5">
        <v>1608.83</v>
      </c>
      <c r="I440" s="2" t="s">
        <v>18</v>
      </c>
      <c r="J440" s="3">
        <v>43013</v>
      </c>
      <c r="K440" s="2">
        <v>8.5999999999999993E-2</v>
      </c>
      <c r="L440" s="2">
        <v>0.19</v>
      </c>
      <c r="M440" s="2">
        <v>10</v>
      </c>
      <c r="N440" s="2" t="s">
        <v>495</v>
      </c>
    </row>
    <row r="441" spans="1:14" x14ac:dyDescent="0.3">
      <c r="A441" s="2" t="s">
        <v>14</v>
      </c>
      <c r="B441" s="2" t="s">
        <v>15</v>
      </c>
      <c r="C441" s="2" t="s">
        <v>16</v>
      </c>
      <c r="D441" s="2" t="str">
        <f>("078295")</f>
        <v>078295</v>
      </c>
      <c r="E441" s="2" t="str">
        <f>("622454782952")</f>
        <v>622454782952</v>
      </c>
      <c r="G441" s="2" t="s">
        <v>502</v>
      </c>
      <c r="H441" s="5">
        <v>1731.42</v>
      </c>
      <c r="I441" s="2" t="s">
        <v>18</v>
      </c>
      <c r="J441" s="3">
        <v>43013</v>
      </c>
      <c r="K441" s="2">
        <v>0.126</v>
      </c>
      <c r="L441" s="2">
        <v>0.27800000000000002</v>
      </c>
      <c r="M441" s="2">
        <v>30</v>
      </c>
      <c r="N441" s="2" t="s">
        <v>495</v>
      </c>
    </row>
    <row r="442" spans="1:14" x14ac:dyDescent="0.3">
      <c r="A442" s="2" t="s">
        <v>14</v>
      </c>
      <c r="B442" s="2" t="s">
        <v>15</v>
      </c>
      <c r="C442" s="2" t="s">
        <v>16</v>
      </c>
      <c r="D442" s="2" t="str">
        <f>("078296")</f>
        <v>078296</v>
      </c>
      <c r="E442" s="2" t="str">
        <f>("622454782969")</f>
        <v>622454782969</v>
      </c>
      <c r="G442" s="2" t="s">
        <v>503</v>
      </c>
      <c r="H442" s="5">
        <v>1909.26</v>
      </c>
      <c r="I442" s="2" t="s">
        <v>18</v>
      </c>
      <c r="J442" s="3">
        <v>43013</v>
      </c>
      <c r="K442" s="2">
        <v>0.114</v>
      </c>
      <c r="L442" s="2">
        <v>0.251</v>
      </c>
      <c r="M442" s="2">
        <v>40</v>
      </c>
      <c r="N442" s="2" t="s">
        <v>495</v>
      </c>
    </row>
    <row r="443" spans="1:14" x14ac:dyDescent="0.3">
      <c r="A443" s="2" t="s">
        <v>14</v>
      </c>
      <c r="B443" s="2" t="s">
        <v>15</v>
      </c>
      <c r="C443" s="2" t="s">
        <v>16</v>
      </c>
      <c r="D443" s="2" t="str">
        <f>("078297")</f>
        <v>078297</v>
      </c>
      <c r="E443" s="2" t="str">
        <f>("622454782976")</f>
        <v>622454782976</v>
      </c>
      <c r="G443" s="2" t="s">
        <v>504</v>
      </c>
      <c r="H443" s="5">
        <v>2060.25</v>
      </c>
      <c r="I443" s="2" t="s">
        <v>18</v>
      </c>
      <c r="J443" s="3">
        <v>43013</v>
      </c>
      <c r="K443" s="2">
        <v>0.128</v>
      </c>
      <c r="L443" s="2">
        <v>0.28199999999999997</v>
      </c>
      <c r="M443" s="2">
        <v>30</v>
      </c>
      <c r="N443" s="2" t="s">
        <v>495</v>
      </c>
    </row>
    <row r="444" spans="1:14" x14ac:dyDescent="0.3">
      <c r="A444" s="2" t="s">
        <v>14</v>
      </c>
      <c r="B444" s="2" t="s">
        <v>15</v>
      </c>
      <c r="C444" s="2" t="s">
        <v>16</v>
      </c>
      <c r="D444" s="2" t="str">
        <f>("078298")</f>
        <v>078298</v>
      </c>
      <c r="E444" s="2" t="str">
        <f>("622454782983")</f>
        <v>622454782983</v>
      </c>
      <c r="G444" s="2" t="s">
        <v>505</v>
      </c>
      <c r="H444" s="5">
        <v>3244.03</v>
      </c>
      <c r="I444" s="2" t="s">
        <v>18</v>
      </c>
      <c r="J444" s="3">
        <v>43013</v>
      </c>
      <c r="K444" s="2">
        <v>0.188</v>
      </c>
      <c r="L444" s="2">
        <v>0.41399999999999998</v>
      </c>
      <c r="M444" s="2">
        <v>25</v>
      </c>
      <c r="N444" s="2" t="s">
        <v>495</v>
      </c>
    </row>
    <row r="445" spans="1:14" x14ac:dyDescent="0.3">
      <c r="A445" s="2" t="s">
        <v>14</v>
      </c>
      <c r="B445" s="2" t="s">
        <v>15</v>
      </c>
      <c r="C445" s="2" t="s">
        <v>16</v>
      </c>
      <c r="D445" s="2" t="str">
        <f>("078299")</f>
        <v>078299</v>
      </c>
      <c r="E445" s="2" t="str">
        <f>("622454782990")</f>
        <v>622454782990</v>
      </c>
      <c r="G445" s="2" t="s">
        <v>506</v>
      </c>
      <c r="H445" s="5">
        <v>3557.1</v>
      </c>
      <c r="I445" s="2" t="s">
        <v>18</v>
      </c>
      <c r="J445" s="3">
        <v>43013</v>
      </c>
      <c r="K445" s="2">
        <v>0.248</v>
      </c>
      <c r="L445" s="2">
        <v>0.54700000000000004</v>
      </c>
      <c r="M445" s="2">
        <v>15</v>
      </c>
      <c r="N445" s="2" t="s">
        <v>495</v>
      </c>
    </row>
    <row r="446" spans="1:14" x14ac:dyDescent="0.3">
      <c r="A446" s="2" t="s">
        <v>14</v>
      </c>
      <c r="B446" s="2" t="s">
        <v>15</v>
      </c>
      <c r="C446" s="2" t="s">
        <v>16</v>
      </c>
      <c r="D446" s="2" t="str">
        <f>("077652")</f>
        <v>077652</v>
      </c>
      <c r="E446" s="2" t="str">
        <f>("622454331372")</f>
        <v>622454331372</v>
      </c>
      <c r="G446" s="2" t="s">
        <v>507</v>
      </c>
      <c r="H446" s="5">
        <v>15092.67</v>
      </c>
      <c r="I446" s="2" t="s">
        <v>18</v>
      </c>
      <c r="J446" s="3">
        <v>43013</v>
      </c>
      <c r="K446" s="2">
        <v>2.4710000000000001</v>
      </c>
      <c r="L446" s="2">
        <v>5.4480000000000004</v>
      </c>
      <c r="M446" s="2">
        <v>4</v>
      </c>
      <c r="N446" s="2" t="s">
        <v>495</v>
      </c>
    </row>
    <row r="447" spans="1:14" x14ac:dyDescent="0.3">
      <c r="A447" s="2" t="s">
        <v>14</v>
      </c>
      <c r="B447" s="2" t="s">
        <v>15</v>
      </c>
      <c r="C447" s="2" t="s">
        <v>16</v>
      </c>
      <c r="D447" s="2" t="str">
        <f>("078351")</f>
        <v>078351</v>
      </c>
      <c r="E447" s="2" t="str">
        <f>("622454783515")</f>
        <v>622454783515</v>
      </c>
      <c r="G447" s="2" t="s">
        <v>508</v>
      </c>
      <c r="H447" s="5">
        <v>1708.72</v>
      </c>
      <c r="I447" s="2" t="s">
        <v>18</v>
      </c>
      <c r="J447" s="3">
        <v>43013</v>
      </c>
      <c r="K447" s="2">
        <v>8.4000000000000005E-2</v>
      </c>
      <c r="L447" s="2">
        <v>0.185</v>
      </c>
      <c r="M447" s="2">
        <v>50</v>
      </c>
      <c r="N447" s="2" t="s">
        <v>509</v>
      </c>
    </row>
    <row r="448" spans="1:14" x14ac:dyDescent="0.3">
      <c r="A448" s="2" t="s">
        <v>14</v>
      </c>
      <c r="B448" s="2" t="s">
        <v>15</v>
      </c>
      <c r="C448" s="2" t="s">
        <v>16</v>
      </c>
      <c r="D448" s="2" t="str">
        <f>("078352")</f>
        <v>078352</v>
      </c>
      <c r="E448" s="2" t="str">
        <f>("622454783522")</f>
        <v>622454783522</v>
      </c>
      <c r="G448" s="2" t="s">
        <v>510</v>
      </c>
      <c r="H448" s="5">
        <v>1819.46</v>
      </c>
      <c r="I448" s="2" t="s">
        <v>18</v>
      </c>
      <c r="J448" s="3">
        <v>43013</v>
      </c>
      <c r="K448" s="2">
        <v>0.152</v>
      </c>
      <c r="L448" s="2">
        <v>0.33500000000000002</v>
      </c>
      <c r="M448" s="2">
        <v>25</v>
      </c>
      <c r="N448" s="2" t="s">
        <v>509</v>
      </c>
    </row>
    <row r="449" spans="1:14" x14ac:dyDescent="0.3">
      <c r="A449" s="2" t="s">
        <v>14</v>
      </c>
      <c r="B449" s="2" t="s">
        <v>15</v>
      </c>
      <c r="C449" s="2" t="s">
        <v>16</v>
      </c>
      <c r="D449" s="2" t="str">
        <f>("077961")</f>
        <v>077961</v>
      </c>
      <c r="E449" s="2" t="str">
        <f>("622454779617")</f>
        <v>622454779617</v>
      </c>
      <c r="G449" s="2" t="s">
        <v>511</v>
      </c>
      <c r="H449" s="5">
        <v>1826.67</v>
      </c>
      <c r="I449" s="2" t="s">
        <v>18</v>
      </c>
      <c r="J449" s="3">
        <v>43013</v>
      </c>
      <c r="K449" s="2">
        <v>7.3999999999999996E-2</v>
      </c>
      <c r="L449" s="2">
        <v>0.16300000000000001</v>
      </c>
      <c r="M449" s="2">
        <v>25</v>
      </c>
      <c r="N449" s="2" t="s">
        <v>512</v>
      </c>
    </row>
    <row r="450" spans="1:14" x14ac:dyDescent="0.3">
      <c r="A450" s="2" t="s">
        <v>14</v>
      </c>
      <c r="B450" s="2" t="s">
        <v>15</v>
      </c>
      <c r="C450" s="2" t="s">
        <v>16</v>
      </c>
      <c r="D450" s="2" t="str">
        <f>("077963")</f>
        <v>077963</v>
      </c>
      <c r="E450" s="2" t="str">
        <f>("622454779631")</f>
        <v>622454779631</v>
      </c>
      <c r="G450" s="2" t="s">
        <v>513</v>
      </c>
      <c r="H450" s="5">
        <v>2970.21</v>
      </c>
      <c r="I450" s="2" t="s">
        <v>18</v>
      </c>
      <c r="J450" s="3">
        <v>43013</v>
      </c>
      <c r="K450" s="2">
        <v>7.5999999999999998E-2</v>
      </c>
      <c r="L450" s="2">
        <v>0.16800000000000001</v>
      </c>
      <c r="M450" s="2">
        <v>25</v>
      </c>
      <c r="N450" s="2" t="s">
        <v>512</v>
      </c>
    </row>
    <row r="451" spans="1:14" x14ac:dyDescent="0.3">
      <c r="A451" s="2" t="s">
        <v>14</v>
      </c>
      <c r="B451" s="2" t="s">
        <v>15</v>
      </c>
      <c r="C451" s="2" t="s">
        <v>16</v>
      </c>
      <c r="D451" s="2" t="str">
        <f>("077965")</f>
        <v>077965</v>
      </c>
      <c r="E451" s="2" t="str">
        <f>("622454779655")</f>
        <v>622454779655</v>
      </c>
      <c r="G451" s="2" t="s">
        <v>514</v>
      </c>
      <c r="H451" s="5">
        <v>2845.45</v>
      </c>
      <c r="I451" s="2" t="s">
        <v>18</v>
      </c>
      <c r="J451" s="3">
        <v>43013</v>
      </c>
      <c r="K451" s="2">
        <v>8.4000000000000005E-2</v>
      </c>
      <c r="L451" s="2">
        <v>0.185</v>
      </c>
      <c r="M451" s="2">
        <v>25</v>
      </c>
      <c r="N451" s="2" t="s">
        <v>512</v>
      </c>
    </row>
    <row r="452" spans="1:14" x14ac:dyDescent="0.3">
      <c r="A452" s="2" t="s">
        <v>14</v>
      </c>
      <c r="B452" s="2" t="s">
        <v>15</v>
      </c>
      <c r="C452" s="2" t="s">
        <v>16</v>
      </c>
      <c r="D452" s="2" t="str">
        <f>("077967")</f>
        <v>077967</v>
      </c>
      <c r="E452" s="2" t="str">
        <f>("622454779679")</f>
        <v>622454779679</v>
      </c>
      <c r="G452" s="2" t="s">
        <v>515</v>
      </c>
      <c r="H452" s="5">
        <v>7948.28</v>
      </c>
      <c r="I452" s="2" t="s">
        <v>18</v>
      </c>
      <c r="J452" s="3">
        <v>43013</v>
      </c>
      <c r="K452" s="2">
        <v>0.214</v>
      </c>
      <c r="L452" s="2">
        <v>0.47199999999999998</v>
      </c>
      <c r="M452" s="2">
        <v>8</v>
      </c>
      <c r="N452" s="2" t="s">
        <v>512</v>
      </c>
    </row>
    <row r="453" spans="1:14" x14ac:dyDescent="0.3">
      <c r="A453" s="2" t="s">
        <v>14</v>
      </c>
      <c r="B453" s="2" t="s">
        <v>15</v>
      </c>
      <c r="C453" s="2" t="s">
        <v>16</v>
      </c>
      <c r="D453" s="2" t="str">
        <f>("077968")</f>
        <v>077968</v>
      </c>
      <c r="E453" s="2" t="str">
        <f>("622454779686")</f>
        <v>622454779686</v>
      </c>
      <c r="G453" s="2" t="s">
        <v>516</v>
      </c>
      <c r="H453" s="5">
        <v>10398.67</v>
      </c>
      <c r="I453" s="2" t="s">
        <v>18</v>
      </c>
      <c r="J453" s="3">
        <v>43013</v>
      </c>
      <c r="K453" s="2">
        <v>0.22800000000000001</v>
      </c>
      <c r="L453" s="2">
        <v>0.503</v>
      </c>
      <c r="M453" s="2">
        <v>8</v>
      </c>
      <c r="N453" s="2" t="s">
        <v>512</v>
      </c>
    </row>
    <row r="454" spans="1:14" x14ac:dyDescent="0.3">
      <c r="A454" s="2" t="s">
        <v>14</v>
      </c>
      <c r="B454" s="2" t="s">
        <v>15</v>
      </c>
      <c r="C454" s="2" t="s">
        <v>16</v>
      </c>
      <c r="D454" s="2" t="str">
        <f>("078302")</f>
        <v>078302</v>
      </c>
      <c r="E454" s="2" t="str">
        <f>("622454783027")</f>
        <v>622454783027</v>
      </c>
      <c r="G454" s="2" t="s">
        <v>517</v>
      </c>
      <c r="H454" s="5">
        <v>1448.03</v>
      </c>
      <c r="I454" s="2" t="s">
        <v>18</v>
      </c>
      <c r="J454" s="3">
        <v>43013</v>
      </c>
      <c r="K454" s="2">
        <v>5.6000000000000001E-2</v>
      </c>
      <c r="L454" s="2">
        <v>0.123</v>
      </c>
      <c r="M454" s="2">
        <v>25</v>
      </c>
      <c r="N454" s="2" t="s">
        <v>518</v>
      </c>
    </row>
    <row r="455" spans="1:14" x14ac:dyDescent="0.3">
      <c r="A455" s="2" t="s">
        <v>14</v>
      </c>
      <c r="B455" s="2" t="s">
        <v>15</v>
      </c>
      <c r="C455" s="2" t="s">
        <v>16</v>
      </c>
      <c r="D455" s="2" t="str">
        <f>("078303")</f>
        <v>078303</v>
      </c>
      <c r="E455" s="2" t="str">
        <f>("622454783034")</f>
        <v>622454783034</v>
      </c>
      <c r="G455" s="2" t="s">
        <v>519</v>
      </c>
      <c r="H455" s="5">
        <v>1598.24</v>
      </c>
      <c r="I455" s="2" t="s">
        <v>18</v>
      </c>
      <c r="J455" s="3">
        <v>43013</v>
      </c>
      <c r="K455" s="2">
        <v>5.3999999999999999E-2</v>
      </c>
      <c r="L455" s="2">
        <v>0.11899999999999999</v>
      </c>
      <c r="M455" s="2">
        <v>20</v>
      </c>
      <c r="N455" s="2" t="s">
        <v>518</v>
      </c>
    </row>
    <row r="456" spans="1:14" x14ac:dyDescent="0.3">
      <c r="A456" s="2" t="s">
        <v>14</v>
      </c>
      <c r="B456" s="2" t="s">
        <v>15</v>
      </c>
      <c r="C456" s="2" t="s">
        <v>16</v>
      </c>
      <c r="D456" s="2" t="str">
        <f>("078304")</f>
        <v>078304</v>
      </c>
      <c r="E456" s="2" t="str">
        <f>("622454783041")</f>
        <v>622454783041</v>
      </c>
      <c r="G456" s="2" t="s">
        <v>520</v>
      </c>
      <c r="H456" s="5">
        <v>1790.08</v>
      </c>
      <c r="I456" s="2" t="s">
        <v>18</v>
      </c>
      <c r="J456" s="3">
        <v>43013</v>
      </c>
      <c r="K456" s="2">
        <v>0.08</v>
      </c>
      <c r="L456" s="2">
        <v>0.17599999999999999</v>
      </c>
      <c r="M456" s="2">
        <v>15</v>
      </c>
      <c r="N456" s="2" t="s">
        <v>518</v>
      </c>
    </row>
    <row r="457" spans="1:14" x14ac:dyDescent="0.3">
      <c r="A457" s="2" t="s">
        <v>14</v>
      </c>
      <c r="B457" s="2" t="s">
        <v>15</v>
      </c>
      <c r="C457" s="2" t="s">
        <v>16</v>
      </c>
      <c r="D457" s="2" t="str">
        <f>("078305")</f>
        <v>078305</v>
      </c>
      <c r="E457" s="2" t="str">
        <f>("622454783058")</f>
        <v>622454783058</v>
      </c>
      <c r="G457" s="2" t="s">
        <v>521</v>
      </c>
      <c r="H457" s="5">
        <v>2407.12</v>
      </c>
      <c r="I457" s="2" t="s">
        <v>18</v>
      </c>
      <c r="J457" s="3">
        <v>43013</v>
      </c>
      <c r="K457" s="2">
        <v>0.14899999999999999</v>
      </c>
      <c r="L457" s="2">
        <v>0.32800000000000001</v>
      </c>
      <c r="M457" s="2">
        <v>20</v>
      </c>
      <c r="N457" s="2" t="s">
        <v>518</v>
      </c>
    </row>
    <row r="458" spans="1:14" x14ac:dyDescent="0.3">
      <c r="A458" s="2" t="s">
        <v>14</v>
      </c>
      <c r="B458" s="2" t="s">
        <v>15</v>
      </c>
      <c r="C458" s="2" t="s">
        <v>16</v>
      </c>
      <c r="D458" s="2" t="str">
        <f>("078306")</f>
        <v>078306</v>
      </c>
      <c r="E458" s="2" t="str">
        <f>("622454783065")</f>
        <v>622454783065</v>
      </c>
      <c r="G458" s="2" t="s">
        <v>522</v>
      </c>
      <c r="H458" s="5">
        <v>2906.95</v>
      </c>
      <c r="I458" s="2" t="s">
        <v>18</v>
      </c>
      <c r="J458" s="3">
        <v>43013</v>
      </c>
      <c r="K458" s="2">
        <v>0.41899999999999998</v>
      </c>
      <c r="L458" s="2">
        <v>0.92400000000000004</v>
      </c>
      <c r="M458" s="2">
        <v>4</v>
      </c>
      <c r="N458" s="2" t="s">
        <v>518</v>
      </c>
    </row>
    <row r="459" spans="1:14" x14ac:dyDescent="0.3">
      <c r="A459" s="2" t="s">
        <v>14</v>
      </c>
      <c r="B459" s="2" t="s">
        <v>15</v>
      </c>
      <c r="C459" s="2" t="s">
        <v>16</v>
      </c>
      <c r="D459" s="2" t="str">
        <f>("078307")</f>
        <v>078307</v>
      </c>
      <c r="E459" s="2" t="str">
        <f>("622454783072")</f>
        <v>622454783072</v>
      </c>
      <c r="G459" s="2" t="s">
        <v>523</v>
      </c>
      <c r="H459" s="5">
        <v>4840.41</v>
      </c>
      <c r="I459" s="2" t="s">
        <v>18</v>
      </c>
      <c r="J459" s="3">
        <v>43013</v>
      </c>
      <c r="K459" s="2">
        <v>0.36</v>
      </c>
      <c r="L459" s="2">
        <v>0.79400000000000004</v>
      </c>
      <c r="M459" s="2">
        <v>4</v>
      </c>
      <c r="N459" s="2" t="s">
        <v>518</v>
      </c>
    </row>
    <row r="460" spans="1:14" x14ac:dyDescent="0.3">
      <c r="A460" s="2" t="s">
        <v>14</v>
      </c>
      <c r="B460" s="2" t="s">
        <v>15</v>
      </c>
      <c r="C460" s="2" t="s">
        <v>16</v>
      </c>
      <c r="D460" s="2" t="str">
        <f>("078308")</f>
        <v>078308</v>
      </c>
      <c r="E460" s="2" t="str">
        <f>("622454783089")</f>
        <v>622454783089</v>
      </c>
      <c r="G460" s="2" t="s">
        <v>524</v>
      </c>
      <c r="H460" s="5">
        <v>24584.76</v>
      </c>
      <c r="I460" s="2" t="s">
        <v>18</v>
      </c>
      <c r="J460" s="3">
        <v>43013</v>
      </c>
      <c r="K460" s="2">
        <v>1.7410000000000001</v>
      </c>
      <c r="L460" s="2">
        <v>3.8380000000000001</v>
      </c>
      <c r="M460" s="2">
        <v>2</v>
      </c>
      <c r="N460" s="2" t="s">
        <v>518</v>
      </c>
    </row>
    <row r="461" spans="1:14" x14ac:dyDescent="0.3">
      <c r="A461" s="2" t="s">
        <v>14</v>
      </c>
      <c r="B461" s="2" t="s">
        <v>15</v>
      </c>
      <c r="C461" s="2" t="s">
        <v>16</v>
      </c>
      <c r="D461" s="2" t="str">
        <f>("078309")</f>
        <v>078309</v>
      </c>
      <c r="E461" s="2" t="str">
        <f>("622454783096")</f>
        <v>622454783096</v>
      </c>
      <c r="G461" s="2" t="s">
        <v>525</v>
      </c>
      <c r="H461" s="5">
        <v>23769.75</v>
      </c>
      <c r="I461" s="2" t="s">
        <v>18</v>
      </c>
      <c r="J461" s="3">
        <v>43013</v>
      </c>
      <c r="K461" s="2">
        <v>1.603</v>
      </c>
      <c r="L461" s="2">
        <v>3.5339999999999998</v>
      </c>
      <c r="M461" s="2">
        <v>2</v>
      </c>
      <c r="N461" s="2" t="s">
        <v>518</v>
      </c>
    </row>
    <row r="462" spans="1:14" x14ac:dyDescent="0.3">
      <c r="A462" s="2" t="s">
        <v>14</v>
      </c>
      <c r="B462" s="2" t="s">
        <v>15</v>
      </c>
      <c r="C462" s="2" t="s">
        <v>16</v>
      </c>
      <c r="D462" s="2" t="str">
        <f>("078310")</f>
        <v>078310</v>
      </c>
      <c r="E462" s="2" t="str">
        <f>("622454783102")</f>
        <v>622454783102</v>
      </c>
      <c r="G462" s="2" t="s">
        <v>526</v>
      </c>
      <c r="H462" s="5">
        <v>66764.75</v>
      </c>
      <c r="I462" s="2" t="s">
        <v>18</v>
      </c>
      <c r="J462" s="3">
        <v>43013</v>
      </c>
      <c r="K462" s="2">
        <v>1.978</v>
      </c>
      <c r="L462" s="2">
        <v>4.3609999999999998</v>
      </c>
      <c r="M462" s="2">
        <v>2</v>
      </c>
      <c r="N462" s="2" t="s">
        <v>518</v>
      </c>
    </row>
    <row r="463" spans="1:14" x14ac:dyDescent="0.3">
      <c r="A463" s="2" t="s">
        <v>14</v>
      </c>
      <c r="B463" s="2" t="s">
        <v>15</v>
      </c>
      <c r="C463" s="2" t="s">
        <v>16</v>
      </c>
      <c r="D463" s="2" t="str">
        <f>("078311")</f>
        <v>078311</v>
      </c>
      <c r="E463" s="2" t="str">
        <f>("622454783119")</f>
        <v>622454783119</v>
      </c>
      <c r="G463" s="2" t="s">
        <v>527</v>
      </c>
      <c r="H463" s="5">
        <v>73139.259999999995</v>
      </c>
      <c r="I463" s="2" t="s">
        <v>18</v>
      </c>
      <c r="J463" s="3">
        <v>43013</v>
      </c>
      <c r="K463" s="2">
        <v>5.673</v>
      </c>
      <c r="L463" s="2">
        <v>12.507</v>
      </c>
      <c r="M463" s="2">
        <v>2</v>
      </c>
      <c r="N463" s="2" t="s">
        <v>518</v>
      </c>
    </row>
    <row r="464" spans="1:14" x14ac:dyDescent="0.3">
      <c r="A464" s="2" t="s">
        <v>14</v>
      </c>
      <c r="B464" s="2" t="s">
        <v>15</v>
      </c>
      <c r="C464" s="2" t="s">
        <v>16</v>
      </c>
      <c r="D464" s="2" t="str">
        <f>("078424")</f>
        <v>078424</v>
      </c>
      <c r="E464" s="2" t="str">
        <f>("622454784246")</f>
        <v>622454784246</v>
      </c>
      <c r="G464" s="2" t="s">
        <v>528</v>
      </c>
      <c r="H464" s="5">
        <v>277.27</v>
      </c>
      <c r="I464" s="2" t="s">
        <v>18</v>
      </c>
      <c r="J464" s="3">
        <v>43013</v>
      </c>
      <c r="K464" s="2">
        <v>3.9E-2</v>
      </c>
      <c r="L464" s="2">
        <v>8.5999999999999993E-2</v>
      </c>
      <c r="M464" s="2">
        <v>70</v>
      </c>
      <c r="N464" s="2" t="s">
        <v>529</v>
      </c>
    </row>
    <row r="465" spans="1:14" x14ac:dyDescent="0.3">
      <c r="A465" s="2" t="s">
        <v>14</v>
      </c>
      <c r="B465" s="2" t="s">
        <v>15</v>
      </c>
      <c r="C465" s="2" t="s">
        <v>16</v>
      </c>
      <c r="D465" s="2" t="str">
        <f>("078425")</f>
        <v>078425</v>
      </c>
      <c r="E465" s="2" t="str">
        <f>("622454784253")</f>
        <v>622454784253</v>
      </c>
      <c r="G465" s="2" t="s">
        <v>530</v>
      </c>
      <c r="H465" s="5">
        <v>373.43</v>
      </c>
      <c r="I465" s="2" t="s">
        <v>18</v>
      </c>
      <c r="J465" s="3">
        <v>43013</v>
      </c>
      <c r="K465" s="2">
        <v>7.6999999999999999E-2</v>
      </c>
      <c r="L465" s="2">
        <v>0.17</v>
      </c>
      <c r="M465" s="2">
        <v>80</v>
      </c>
      <c r="N465" s="2" t="s">
        <v>529</v>
      </c>
    </row>
    <row r="466" spans="1:14" x14ac:dyDescent="0.3">
      <c r="A466" s="2" t="s">
        <v>14</v>
      </c>
      <c r="B466" s="2" t="s">
        <v>15</v>
      </c>
      <c r="C466" s="2" t="s">
        <v>16</v>
      </c>
      <c r="D466" s="2" t="str">
        <f>("078427")</f>
        <v>078427</v>
      </c>
      <c r="E466" s="2" t="str">
        <f>("622454784277")</f>
        <v>622454784277</v>
      </c>
      <c r="G466" s="2" t="s">
        <v>531</v>
      </c>
      <c r="H466" s="5">
        <v>639.71</v>
      </c>
      <c r="I466" s="2" t="s">
        <v>18</v>
      </c>
      <c r="J466" s="3">
        <v>43013</v>
      </c>
      <c r="K466" s="2">
        <v>0.104</v>
      </c>
      <c r="L466" s="2">
        <v>0.22900000000000001</v>
      </c>
      <c r="M466" s="2">
        <v>50</v>
      </c>
      <c r="N466" s="2" t="s">
        <v>529</v>
      </c>
    </row>
    <row r="467" spans="1:14" x14ac:dyDescent="0.3">
      <c r="A467" s="2" t="s">
        <v>14</v>
      </c>
      <c r="B467" s="2" t="s">
        <v>15</v>
      </c>
      <c r="C467" s="2" t="s">
        <v>16</v>
      </c>
      <c r="D467" s="2" t="str">
        <f>("078428")</f>
        <v>078428</v>
      </c>
      <c r="E467" s="2" t="str">
        <f>("622454784284")</f>
        <v>622454784284</v>
      </c>
      <c r="G467" s="2" t="s">
        <v>532</v>
      </c>
      <c r="H467" s="5">
        <v>854.4</v>
      </c>
      <c r="I467" s="2" t="s">
        <v>18</v>
      </c>
      <c r="J467" s="3">
        <v>43013</v>
      </c>
      <c r="K467" s="2">
        <v>0.13800000000000001</v>
      </c>
      <c r="L467" s="2">
        <v>0.30399999999999999</v>
      </c>
      <c r="M467" s="2">
        <v>60</v>
      </c>
      <c r="N467" s="2" t="s">
        <v>529</v>
      </c>
    </row>
    <row r="468" spans="1:14" x14ac:dyDescent="0.3">
      <c r="A468" s="2" t="s">
        <v>14</v>
      </c>
      <c r="B468" s="2" t="s">
        <v>15</v>
      </c>
      <c r="C468" s="2" t="s">
        <v>16</v>
      </c>
      <c r="D468" s="2" t="str">
        <f>("078429")</f>
        <v>078429</v>
      </c>
      <c r="E468" s="2" t="str">
        <f>("622454784291")</f>
        <v>622454784291</v>
      </c>
      <c r="G468" s="2" t="s">
        <v>533</v>
      </c>
      <c r="H468" s="5">
        <v>1057.81</v>
      </c>
      <c r="I468" s="2" t="s">
        <v>18</v>
      </c>
      <c r="J468" s="3">
        <v>43013</v>
      </c>
      <c r="K468" s="2">
        <v>0.17799999999999999</v>
      </c>
      <c r="L468" s="2">
        <v>0.39200000000000002</v>
      </c>
      <c r="M468" s="2">
        <v>30</v>
      </c>
      <c r="N468" s="2" t="s">
        <v>529</v>
      </c>
    </row>
    <row r="469" spans="1:14" x14ac:dyDescent="0.3">
      <c r="A469" s="2" t="s">
        <v>14</v>
      </c>
      <c r="B469" s="2" t="s">
        <v>15</v>
      </c>
      <c r="C469" s="2" t="s">
        <v>16</v>
      </c>
      <c r="D469" s="2" t="str">
        <f>("077648")</f>
        <v>077648</v>
      </c>
      <c r="E469" s="2" t="str">
        <f>("622454314443")</f>
        <v>622454314443</v>
      </c>
      <c r="G469" s="2" t="s">
        <v>534</v>
      </c>
      <c r="H469" s="5">
        <v>3196.2</v>
      </c>
      <c r="I469" s="2" t="s">
        <v>18</v>
      </c>
      <c r="J469" s="3">
        <v>43013</v>
      </c>
      <c r="K469" s="2">
        <v>0.51</v>
      </c>
      <c r="L469" s="2">
        <v>1.1240000000000001</v>
      </c>
      <c r="M469" s="2">
        <v>12</v>
      </c>
      <c r="N469" s="2" t="s">
        <v>529</v>
      </c>
    </row>
    <row r="470" spans="1:14" x14ac:dyDescent="0.3">
      <c r="A470" s="2" t="s">
        <v>14</v>
      </c>
      <c r="B470" s="2" t="s">
        <v>15</v>
      </c>
      <c r="C470" s="2" t="s">
        <v>16</v>
      </c>
      <c r="D470" s="2" t="str">
        <f>("078314")</f>
        <v>078314</v>
      </c>
      <c r="E470" s="2" t="str">
        <f>("622454783140")</f>
        <v>622454783140</v>
      </c>
      <c r="G470" s="2" t="s">
        <v>535</v>
      </c>
      <c r="H470" s="5">
        <v>357.48</v>
      </c>
      <c r="I470" s="2" t="s">
        <v>18</v>
      </c>
      <c r="J470" s="3">
        <v>43013</v>
      </c>
      <c r="K470" s="2">
        <v>8.9999999999999993E-3</v>
      </c>
      <c r="L470" s="2">
        <v>0.02</v>
      </c>
      <c r="M470" s="2">
        <v>400</v>
      </c>
      <c r="N470" s="2" t="s">
        <v>536</v>
      </c>
    </row>
    <row r="471" spans="1:14" x14ac:dyDescent="0.3">
      <c r="A471" s="2" t="s">
        <v>14</v>
      </c>
      <c r="B471" s="2" t="s">
        <v>15</v>
      </c>
      <c r="C471" s="2" t="s">
        <v>16</v>
      </c>
      <c r="D471" s="2" t="str">
        <f>("078315")</f>
        <v>078315</v>
      </c>
      <c r="E471" s="2" t="str">
        <f>("622454783157")</f>
        <v>622454783157</v>
      </c>
      <c r="G471" s="2" t="s">
        <v>537</v>
      </c>
      <c r="H471" s="5">
        <v>392.55</v>
      </c>
      <c r="I471" s="2" t="s">
        <v>18</v>
      </c>
      <c r="J471" s="3">
        <v>43013</v>
      </c>
      <c r="K471" s="2">
        <v>0.02</v>
      </c>
      <c r="L471" s="2">
        <v>4.3999999999999997E-2</v>
      </c>
      <c r="M471" s="2">
        <v>150</v>
      </c>
      <c r="N471" s="2" t="s">
        <v>536</v>
      </c>
    </row>
    <row r="472" spans="1:14" x14ac:dyDescent="0.3">
      <c r="A472" s="2" t="s">
        <v>14</v>
      </c>
      <c r="B472" s="2" t="s">
        <v>15</v>
      </c>
      <c r="C472" s="2" t="s">
        <v>16</v>
      </c>
      <c r="D472" s="2" t="str">
        <f>("078316")</f>
        <v>078316</v>
      </c>
      <c r="E472" s="2" t="str">
        <f>("622454783164")</f>
        <v>622454783164</v>
      </c>
      <c r="G472" s="2" t="s">
        <v>538</v>
      </c>
      <c r="H472" s="5">
        <v>420.58</v>
      </c>
      <c r="I472" s="2" t="s">
        <v>18</v>
      </c>
      <c r="J472" s="3">
        <v>43013</v>
      </c>
      <c r="K472" s="2">
        <v>3.2000000000000001E-2</v>
      </c>
      <c r="L472" s="2">
        <v>7.0999999999999994E-2</v>
      </c>
      <c r="M472" s="2">
        <v>100</v>
      </c>
      <c r="N472" s="2" t="s">
        <v>536</v>
      </c>
    </row>
    <row r="473" spans="1:14" x14ac:dyDescent="0.3">
      <c r="A473" s="2" t="s">
        <v>14</v>
      </c>
      <c r="B473" s="2" t="s">
        <v>15</v>
      </c>
      <c r="C473" s="2" t="s">
        <v>16</v>
      </c>
      <c r="D473" s="2" t="str">
        <f>("078317")</f>
        <v>078317</v>
      </c>
      <c r="E473" s="2" t="str">
        <f>("622454783171")</f>
        <v>622454783171</v>
      </c>
      <c r="G473" s="2" t="s">
        <v>539</v>
      </c>
      <c r="H473" s="5">
        <v>606.35</v>
      </c>
      <c r="I473" s="2" t="s">
        <v>18</v>
      </c>
      <c r="J473" s="3">
        <v>43013</v>
      </c>
      <c r="K473" s="2">
        <v>4.9000000000000002E-2</v>
      </c>
      <c r="L473" s="2">
        <v>0.108</v>
      </c>
      <c r="M473" s="2">
        <v>40</v>
      </c>
      <c r="N473" s="2" t="s">
        <v>536</v>
      </c>
    </row>
    <row r="474" spans="1:14" x14ac:dyDescent="0.3">
      <c r="A474" s="2" t="s">
        <v>14</v>
      </c>
      <c r="B474" s="2" t="s">
        <v>15</v>
      </c>
      <c r="C474" s="2" t="s">
        <v>16</v>
      </c>
      <c r="D474" s="2" t="str">
        <f>("078318")</f>
        <v>078318</v>
      </c>
      <c r="E474" s="2" t="str">
        <f>("622454783188")</f>
        <v>622454783188</v>
      </c>
      <c r="G474" s="2" t="s">
        <v>540</v>
      </c>
      <c r="H474" s="5">
        <v>795.64</v>
      </c>
      <c r="I474" s="2" t="s">
        <v>18</v>
      </c>
      <c r="J474" s="3">
        <v>43013</v>
      </c>
      <c r="K474" s="2">
        <v>0.05</v>
      </c>
      <c r="L474" s="2">
        <v>0.11</v>
      </c>
      <c r="M474" s="2">
        <v>40</v>
      </c>
      <c r="N474" s="2" t="s">
        <v>536</v>
      </c>
    </row>
    <row r="475" spans="1:14" x14ac:dyDescent="0.3">
      <c r="A475" s="2" t="s">
        <v>14</v>
      </c>
      <c r="B475" s="2" t="s">
        <v>15</v>
      </c>
      <c r="C475" s="2" t="s">
        <v>16</v>
      </c>
      <c r="D475" s="2" t="str">
        <f>("078319")</f>
        <v>078319</v>
      </c>
      <c r="E475" s="2" t="str">
        <f>("622454783195")</f>
        <v>622454783195</v>
      </c>
      <c r="G475" s="2" t="s">
        <v>541</v>
      </c>
      <c r="H475" s="5">
        <v>1097.4100000000001</v>
      </c>
      <c r="I475" s="2" t="s">
        <v>18</v>
      </c>
      <c r="J475" s="3">
        <v>43013</v>
      </c>
      <c r="K475" s="2">
        <v>9.8000000000000004E-2</v>
      </c>
      <c r="L475" s="2">
        <v>0.216</v>
      </c>
      <c r="M475" s="2">
        <v>20</v>
      </c>
      <c r="N475" s="2" t="s">
        <v>536</v>
      </c>
    </row>
    <row r="476" spans="1:14" x14ac:dyDescent="0.3">
      <c r="A476" s="2" t="s">
        <v>14</v>
      </c>
      <c r="B476" s="2" t="s">
        <v>15</v>
      </c>
      <c r="C476" s="2" t="s">
        <v>16</v>
      </c>
      <c r="D476" s="2" t="str">
        <f>("078320")</f>
        <v>078320</v>
      </c>
      <c r="E476" s="2" t="str">
        <f>("622454783201")</f>
        <v>622454783201</v>
      </c>
      <c r="G476" s="2" t="s">
        <v>542</v>
      </c>
      <c r="H476" s="5">
        <v>2393.98</v>
      </c>
      <c r="I476" s="2" t="s">
        <v>18</v>
      </c>
      <c r="J476" s="3">
        <v>43013</v>
      </c>
      <c r="K476" s="2">
        <v>0.17</v>
      </c>
      <c r="L476" s="2">
        <v>0.375</v>
      </c>
      <c r="M476" s="2">
        <v>15</v>
      </c>
      <c r="N476" s="2" t="s">
        <v>536</v>
      </c>
    </row>
    <row r="477" spans="1:14" x14ac:dyDescent="0.3">
      <c r="A477" s="2" t="s">
        <v>14</v>
      </c>
      <c r="B477" s="2" t="s">
        <v>15</v>
      </c>
      <c r="C477" s="2" t="s">
        <v>16</v>
      </c>
      <c r="D477" s="2" t="str">
        <f>("078321")</f>
        <v>078321</v>
      </c>
      <c r="E477" s="2" t="str">
        <f>("622454783218")</f>
        <v>622454783218</v>
      </c>
      <c r="G477" s="2" t="s">
        <v>543</v>
      </c>
      <c r="H477" s="5">
        <v>2501</v>
      </c>
      <c r="I477" s="2" t="s">
        <v>18</v>
      </c>
      <c r="J477" s="3">
        <v>43013</v>
      </c>
      <c r="K477" s="2">
        <v>0.24</v>
      </c>
      <c r="L477" s="2">
        <v>0.52900000000000003</v>
      </c>
      <c r="M477" s="2">
        <v>10</v>
      </c>
      <c r="N477" s="2" t="s">
        <v>536</v>
      </c>
    </row>
    <row r="478" spans="1:14" x14ac:dyDescent="0.3">
      <c r="A478" s="2" t="s">
        <v>14</v>
      </c>
      <c r="B478" s="2" t="s">
        <v>15</v>
      </c>
      <c r="C478" s="2" t="s">
        <v>16</v>
      </c>
      <c r="D478" s="2" t="str">
        <f>("077429")</f>
        <v>077429</v>
      </c>
      <c r="E478" s="2" t="str">
        <f>("622454774292")</f>
        <v>622454774292</v>
      </c>
      <c r="G478" s="2" t="s">
        <v>544</v>
      </c>
      <c r="H478" s="5">
        <v>3820.6</v>
      </c>
      <c r="I478" s="2" t="s">
        <v>18</v>
      </c>
      <c r="J478" s="3">
        <v>43013</v>
      </c>
      <c r="K478" s="2">
        <v>0.245</v>
      </c>
      <c r="L478" s="2">
        <v>0.54</v>
      </c>
      <c r="M478" s="2">
        <v>25</v>
      </c>
      <c r="N478" s="2" t="s">
        <v>536</v>
      </c>
    </row>
    <row r="479" spans="1:14" x14ac:dyDescent="0.3">
      <c r="A479" s="2" t="s">
        <v>14</v>
      </c>
      <c r="B479" s="2" t="s">
        <v>15</v>
      </c>
      <c r="C479" s="2" t="s">
        <v>16</v>
      </c>
      <c r="D479" s="2" t="str">
        <f>("078323")</f>
        <v>078323</v>
      </c>
      <c r="E479" s="2" t="str">
        <f>("622454783232")</f>
        <v>622454783232</v>
      </c>
      <c r="G479" s="2" t="s">
        <v>545</v>
      </c>
      <c r="H479" s="5">
        <v>5211.3900000000003</v>
      </c>
      <c r="I479" s="2" t="s">
        <v>18</v>
      </c>
      <c r="J479" s="3">
        <v>43013</v>
      </c>
      <c r="K479" s="2">
        <v>0.36499999999999999</v>
      </c>
      <c r="L479" s="2">
        <v>0.80500000000000005</v>
      </c>
      <c r="M479" s="2">
        <v>12</v>
      </c>
      <c r="N479" s="2" t="s">
        <v>536</v>
      </c>
    </row>
    <row r="480" spans="1:14" x14ac:dyDescent="0.3">
      <c r="A480" s="2" t="s">
        <v>14</v>
      </c>
      <c r="B480" s="2" t="s">
        <v>15</v>
      </c>
      <c r="C480" s="2" t="s">
        <v>16</v>
      </c>
      <c r="D480" s="2" t="str">
        <f>("077431")</f>
        <v>077431</v>
      </c>
      <c r="E480" s="2" t="str">
        <f>("622454774315")</f>
        <v>622454774315</v>
      </c>
      <c r="G480" s="2" t="s">
        <v>546</v>
      </c>
      <c r="H480" s="5">
        <v>6049.7</v>
      </c>
      <c r="I480" s="2" t="s">
        <v>18</v>
      </c>
      <c r="J480" s="3">
        <v>43013</v>
      </c>
      <c r="K480" s="2">
        <v>0.45700000000000002</v>
      </c>
      <c r="L480" s="2">
        <v>1.008</v>
      </c>
      <c r="M480" s="2">
        <v>5</v>
      </c>
      <c r="N480" s="2" t="s">
        <v>536</v>
      </c>
    </row>
    <row r="481" spans="1:14" x14ac:dyDescent="0.3">
      <c r="A481" s="2" t="s">
        <v>14</v>
      </c>
      <c r="B481" s="2" t="s">
        <v>15</v>
      </c>
      <c r="C481" s="2" t="s">
        <v>16</v>
      </c>
      <c r="D481" s="2" t="str">
        <f>("078325")</f>
        <v>078325</v>
      </c>
      <c r="E481" s="2" t="str">
        <f>("622454783256")</f>
        <v>622454783256</v>
      </c>
      <c r="G481" s="2" t="s">
        <v>547</v>
      </c>
      <c r="H481" s="5">
        <v>8278.9</v>
      </c>
      <c r="I481" s="2" t="s">
        <v>18</v>
      </c>
      <c r="J481" s="3">
        <v>43013</v>
      </c>
      <c r="K481" s="2">
        <v>0.90300000000000002</v>
      </c>
      <c r="L481" s="2">
        <v>1.9910000000000001</v>
      </c>
      <c r="M481" s="2">
        <v>10</v>
      </c>
      <c r="N481" s="2" t="s">
        <v>536</v>
      </c>
    </row>
    <row r="482" spans="1:14" x14ac:dyDescent="0.3">
      <c r="A482" s="2" t="s">
        <v>14</v>
      </c>
      <c r="B482" s="2" t="s">
        <v>15</v>
      </c>
      <c r="C482" s="2" t="s">
        <v>16</v>
      </c>
      <c r="D482" s="2" t="str">
        <f>("178191")</f>
        <v>178191</v>
      </c>
      <c r="E482" s="2" t="str">
        <f>("622454324930")</f>
        <v>622454324930</v>
      </c>
      <c r="G482" s="2" t="s">
        <v>548</v>
      </c>
      <c r="H482" s="5">
        <v>29511.3</v>
      </c>
      <c r="I482" s="2" t="s">
        <v>18</v>
      </c>
      <c r="J482" s="3">
        <v>43013</v>
      </c>
      <c r="K482" s="2">
        <v>1.778</v>
      </c>
      <c r="L482" s="2">
        <v>3.92</v>
      </c>
      <c r="M482" s="2">
        <v>3</v>
      </c>
      <c r="N482" s="2" t="s">
        <v>536</v>
      </c>
    </row>
    <row r="483" spans="1:14" x14ac:dyDescent="0.3">
      <c r="A483" s="2" t="s">
        <v>14</v>
      </c>
      <c r="B483" s="2" t="s">
        <v>15</v>
      </c>
      <c r="C483" s="2" t="s">
        <v>16</v>
      </c>
      <c r="D483" s="2" t="str">
        <f>("078353")</f>
        <v>078353</v>
      </c>
      <c r="E483" s="2" t="str">
        <f>("622454783539")</f>
        <v>622454783539</v>
      </c>
      <c r="G483" s="2" t="s">
        <v>549</v>
      </c>
      <c r="H483" s="5">
        <v>275.22000000000003</v>
      </c>
      <c r="I483" s="2" t="s">
        <v>18</v>
      </c>
      <c r="J483" s="3">
        <v>43013</v>
      </c>
      <c r="K483" s="2">
        <v>7.0000000000000001E-3</v>
      </c>
      <c r="L483" s="2">
        <v>1.4999999999999999E-2</v>
      </c>
      <c r="M483" s="2">
        <v>3100</v>
      </c>
      <c r="N483" s="2" t="s">
        <v>550</v>
      </c>
    </row>
    <row r="484" spans="1:14" x14ac:dyDescent="0.3">
      <c r="A484" s="2" t="s">
        <v>14</v>
      </c>
      <c r="B484" s="2" t="s">
        <v>15</v>
      </c>
      <c r="C484" s="2" t="s">
        <v>16</v>
      </c>
      <c r="D484" s="2" t="str">
        <f>("078354")</f>
        <v>078354</v>
      </c>
      <c r="E484" s="2" t="str">
        <f>("622454783546")</f>
        <v>622454783546</v>
      </c>
      <c r="G484" s="2" t="s">
        <v>551</v>
      </c>
      <c r="H484" s="5">
        <v>620.61</v>
      </c>
      <c r="I484" s="2" t="s">
        <v>18</v>
      </c>
      <c r="J484" s="3">
        <v>43013</v>
      </c>
      <c r="K484" s="2">
        <v>0.02</v>
      </c>
      <c r="L484" s="2">
        <v>4.3999999999999997E-2</v>
      </c>
      <c r="M484" s="2">
        <v>3100</v>
      </c>
      <c r="N484" s="2" t="s">
        <v>550</v>
      </c>
    </row>
    <row r="485" spans="1:14" x14ac:dyDescent="0.3">
      <c r="A485" s="2" t="s">
        <v>14</v>
      </c>
      <c r="B485" s="2" t="s">
        <v>15</v>
      </c>
      <c r="C485" s="2" t="s">
        <v>16</v>
      </c>
      <c r="D485" s="2" t="str">
        <f>("078355")</f>
        <v>078355</v>
      </c>
      <c r="E485" s="2" t="str">
        <f>("622454783553")</f>
        <v>622454783553</v>
      </c>
      <c r="G485" s="2" t="s">
        <v>552</v>
      </c>
      <c r="H485" s="5">
        <v>634.37</v>
      </c>
      <c r="I485" s="2" t="s">
        <v>18</v>
      </c>
      <c r="J485" s="3">
        <v>43013</v>
      </c>
      <c r="K485" s="2">
        <v>1.2999999999999999E-2</v>
      </c>
      <c r="L485" s="2">
        <v>2.9000000000000001E-2</v>
      </c>
      <c r="M485" s="2">
        <v>2100</v>
      </c>
      <c r="N485" s="2" t="s">
        <v>550</v>
      </c>
    </row>
    <row r="486" spans="1:14" x14ac:dyDescent="0.3">
      <c r="A486" s="2" t="s">
        <v>14</v>
      </c>
      <c r="B486" s="2" t="s">
        <v>15</v>
      </c>
      <c r="C486" s="2" t="s">
        <v>16</v>
      </c>
      <c r="D486" s="2" t="str">
        <f>("078356")</f>
        <v>078356</v>
      </c>
      <c r="E486" s="2" t="str">
        <f>("622454783560")</f>
        <v>622454783560</v>
      </c>
      <c r="G486" s="2" t="s">
        <v>553</v>
      </c>
      <c r="H486" s="5">
        <v>813.15</v>
      </c>
      <c r="I486" s="2" t="s">
        <v>18</v>
      </c>
      <c r="J486" s="3">
        <v>43013</v>
      </c>
      <c r="K486" s="2">
        <v>0.04</v>
      </c>
      <c r="L486" s="2">
        <v>8.7999999999999995E-2</v>
      </c>
      <c r="M486" s="2">
        <v>225</v>
      </c>
      <c r="N486" s="2" t="s">
        <v>550</v>
      </c>
    </row>
    <row r="487" spans="1:14" x14ac:dyDescent="0.3">
      <c r="A487" s="2" t="s">
        <v>14</v>
      </c>
      <c r="B487" s="2" t="s">
        <v>15</v>
      </c>
      <c r="C487" s="2" t="s">
        <v>16</v>
      </c>
      <c r="D487" s="2" t="str">
        <f>("078357")</f>
        <v>078357</v>
      </c>
      <c r="E487" s="2" t="str">
        <f>("622454783577")</f>
        <v>622454783577</v>
      </c>
      <c r="G487" s="2" t="s">
        <v>554</v>
      </c>
      <c r="H487" s="5">
        <v>825.81</v>
      </c>
      <c r="I487" s="2" t="s">
        <v>18</v>
      </c>
      <c r="J487" s="3">
        <v>43013</v>
      </c>
      <c r="K487" s="2">
        <v>0.02</v>
      </c>
      <c r="L487" s="2">
        <v>4.3999999999999997E-2</v>
      </c>
      <c r="M487" s="2">
        <v>50</v>
      </c>
      <c r="N487" s="2" t="s">
        <v>550</v>
      </c>
    </row>
    <row r="488" spans="1:14" x14ac:dyDescent="0.3">
      <c r="A488" s="2" t="s">
        <v>14</v>
      </c>
      <c r="B488" s="2" t="s">
        <v>15</v>
      </c>
      <c r="C488" s="2" t="s">
        <v>16</v>
      </c>
      <c r="D488" s="2" t="str">
        <f>("078359")</f>
        <v>078359</v>
      </c>
      <c r="E488" s="2" t="str">
        <f>("622454783591")</f>
        <v>622454783591</v>
      </c>
      <c r="G488" s="2" t="s">
        <v>555</v>
      </c>
      <c r="H488" s="5">
        <v>882.15</v>
      </c>
      <c r="I488" s="2" t="s">
        <v>18</v>
      </c>
      <c r="J488" s="3">
        <v>43013</v>
      </c>
      <c r="K488" s="2">
        <v>5.0999999999999997E-2</v>
      </c>
      <c r="L488" s="2">
        <v>0.112</v>
      </c>
      <c r="M488" s="2">
        <v>50</v>
      </c>
      <c r="N488" s="2" t="s">
        <v>550</v>
      </c>
    </row>
    <row r="489" spans="1:14" x14ac:dyDescent="0.3">
      <c r="A489" s="2" t="s">
        <v>14</v>
      </c>
      <c r="B489" s="2" t="s">
        <v>15</v>
      </c>
      <c r="C489" s="2" t="s">
        <v>16</v>
      </c>
      <c r="D489" s="2" t="str">
        <f>("078360")</f>
        <v>078360</v>
      </c>
      <c r="E489" s="2" t="str">
        <f>("622454783607")</f>
        <v>622454783607</v>
      </c>
      <c r="G489" s="2" t="s">
        <v>556</v>
      </c>
      <c r="H489" s="5">
        <v>840.8</v>
      </c>
      <c r="I489" s="2" t="s">
        <v>18</v>
      </c>
      <c r="J489" s="3">
        <v>43013</v>
      </c>
      <c r="K489" s="2">
        <v>2.1000000000000001E-2</v>
      </c>
      <c r="L489" s="2">
        <v>4.5999999999999999E-2</v>
      </c>
      <c r="M489" s="2">
        <v>50</v>
      </c>
      <c r="N489" s="2" t="s">
        <v>550</v>
      </c>
    </row>
    <row r="490" spans="1:14" x14ac:dyDescent="0.3">
      <c r="A490" s="2" t="s">
        <v>14</v>
      </c>
      <c r="B490" s="2" t="s">
        <v>15</v>
      </c>
      <c r="C490" s="2" t="s">
        <v>16</v>
      </c>
      <c r="D490" s="2" t="str">
        <f>("078361")</f>
        <v>078361</v>
      </c>
      <c r="E490" s="2" t="str">
        <f>("622454783614")</f>
        <v>622454783614</v>
      </c>
      <c r="G490" s="2" t="s">
        <v>557</v>
      </c>
      <c r="H490" s="5">
        <v>1005.08</v>
      </c>
      <c r="I490" s="2" t="s">
        <v>18</v>
      </c>
      <c r="J490" s="3">
        <v>43013</v>
      </c>
      <c r="K490" s="2">
        <v>8.4000000000000005E-2</v>
      </c>
      <c r="L490" s="2">
        <v>0.185</v>
      </c>
      <c r="M490" s="2">
        <v>50</v>
      </c>
      <c r="N490" s="2" t="s">
        <v>550</v>
      </c>
    </row>
    <row r="491" spans="1:14" x14ac:dyDescent="0.3">
      <c r="A491" s="2" t="s">
        <v>14</v>
      </c>
      <c r="B491" s="2" t="s">
        <v>15</v>
      </c>
      <c r="C491" s="2" t="s">
        <v>16</v>
      </c>
      <c r="D491" s="2" t="str">
        <f>("078363")</f>
        <v>078363</v>
      </c>
      <c r="E491" s="2" t="str">
        <f>("622454783638")</f>
        <v>622454783638</v>
      </c>
      <c r="G491" s="2" t="s">
        <v>558</v>
      </c>
      <c r="H491" s="5">
        <v>1027.1199999999999</v>
      </c>
      <c r="I491" s="2" t="s">
        <v>18</v>
      </c>
      <c r="J491" s="3">
        <v>43013</v>
      </c>
      <c r="K491" s="2">
        <v>7.5999999999999998E-2</v>
      </c>
      <c r="L491" s="2">
        <v>0.16800000000000001</v>
      </c>
      <c r="M491" s="2">
        <v>25</v>
      </c>
      <c r="N491" s="2" t="s">
        <v>550</v>
      </c>
    </row>
    <row r="492" spans="1:14" x14ac:dyDescent="0.3">
      <c r="A492" s="2" t="s">
        <v>14</v>
      </c>
      <c r="B492" s="2" t="s">
        <v>15</v>
      </c>
      <c r="C492" s="2" t="s">
        <v>16</v>
      </c>
      <c r="D492" s="2" t="str">
        <f>("078362")</f>
        <v>078362</v>
      </c>
      <c r="E492" s="2" t="str">
        <f>("622454783621")</f>
        <v>622454783621</v>
      </c>
      <c r="G492" s="2" t="s">
        <v>559</v>
      </c>
      <c r="H492" s="5">
        <v>1024.46</v>
      </c>
      <c r="I492" s="2" t="s">
        <v>18</v>
      </c>
      <c r="J492" s="3">
        <v>43013</v>
      </c>
      <c r="K492" s="2">
        <v>6.2E-2</v>
      </c>
      <c r="L492" s="2">
        <v>0.13700000000000001</v>
      </c>
      <c r="M492" s="2">
        <v>25</v>
      </c>
      <c r="N492" s="2" t="s">
        <v>550</v>
      </c>
    </row>
    <row r="493" spans="1:14" x14ac:dyDescent="0.3">
      <c r="A493" s="2" t="s">
        <v>14</v>
      </c>
      <c r="B493" s="2" t="s">
        <v>15</v>
      </c>
      <c r="C493" s="2" t="s">
        <v>16</v>
      </c>
      <c r="D493" s="2" t="str">
        <f>("078364")</f>
        <v>078364</v>
      </c>
      <c r="E493" s="2" t="str">
        <f>("622454783645")</f>
        <v>622454783645</v>
      </c>
      <c r="G493" s="2" t="s">
        <v>560</v>
      </c>
      <c r="H493" s="5">
        <v>3376.42</v>
      </c>
      <c r="I493" s="2" t="s">
        <v>18</v>
      </c>
      <c r="J493" s="3">
        <v>43013</v>
      </c>
      <c r="K493" s="2">
        <v>0.108</v>
      </c>
      <c r="L493" s="2">
        <v>0.23799999999999999</v>
      </c>
      <c r="M493" s="2">
        <v>15</v>
      </c>
      <c r="N493" s="2" t="s">
        <v>550</v>
      </c>
    </row>
    <row r="494" spans="1:14" x14ac:dyDescent="0.3">
      <c r="A494" s="2" t="s">
        <v>14</v>
      </c>
      <c r="B494" s="2" t="s">
        <v>15</v>
      </c>
      <c r="C494" s="2" t="s">
        <v>16</v>
      </c>
      <c r="D494" s="2" t="str">
        <f>("078365")</f>
        <v>078365</v>
      </c>
      <c r="E494" s="2" t="str">
        <f>("622454783652")</f>
        <v>622454783652</v>
      </c>
      <c r="G494" s="2" t="s">
        <v>561</v>
      </c>
      <c r="H494" s="5">
        <v>3797.43</v>
      </c>
      <c r="I494" s="2" t="s">
        <v>18</v>
      </c>
      <c r="J494" s="3">
        <v>43013</v>
      </c>
      <c r="K494" s="2">
        <v>0.27900000000000003</v>
      </c>
      <c r="L494" s="2">
        <v>0.61499999999999999</v>
      </c>
      <c r="M494" s="2">
        <v>25</v>
      </c>
      <c r="N494" s="2" t="s">
        <v>550</v>
      </c>
    </row>
    <row r="495" spans="1:14" x14ac:dyDescent="0.3">
      <c r="A495" s="2" t="s">
        <v>14</v>
      </c>
      <c r="B495" s="2" t="s">
        <v>15</v>
      </c>
      <c r="C495" s="2" t="s">
        <v>16</v>
      </c>
      <c r="D495" s="2" t="str">
        <f>("078366")</f>
        <v>078366</v>
      </c>
      <c r="E495" s="2" t="str">
        <f>("622454783669")</f>
        <v>622454783669</v>
      </c>
      <c r="G495" s="2" t="s">
        <v>562</v>
      </c>
      <c r="H495" s="5">
        <v>4066.93</v>
      </c>
      <c r="I495" s="2" t="s">
        <v>18</v>
      </c>
      <c r="J495" s="3">
        <v>43013</v>
      </c>
      <c r="K495" s="2">
        <v>0.13</v>
      </c>
      <c r="L495" s="2">
        <v>0.28699999999999998</v>
      </c>
      <c r="M495" s="2">
        <v>15</v>
      </c>
      <c r="N495" s="2" t="s">
        <v>550</v>
      </c>
    </row>
    <row r="496" spans="1:14" x14ac:dyDescent="0.3">
      <c r="A496" s="2" t="s">
        <v>14</v>
      </c>
      <c r="B496" s="2" t="s">
        <v>15</v>
      </c>
      <c r="C496" s="2" t="s">
        <v>16</v>
      </c>
      <c r="D496" s="2" t="str">
        <f>("078369")</f>
        <v>078369</v>
      </c>
      <c r="E496" s="2" t="str">
        <f>("622454783690")</f>
        <v>622454783690</v>
      </c>
      <c r="G496" s="2" t="s">
        <v>563</v>
      </c>
      <c r="H496" s="5">
        <v>4480.45</v>
      </c>
      <c r="I496" s="2" t="s">
        <v>18</v>
      </c>
      <c r="J496" s="3">
        <v>43013</v>
      </c>
      <c r="K496" s="2">
        <v>0.55200000000000005</v>
      </c>
      <c r="L496" s="2">
        <v>1.2170000000000001</v>
      </c>
      <c r="M496" s="2">
        <v>15</v>
      </c>
      <c r="N496" s="2" t="s">
        <v>550</v>
      </c>
    </row>
    <row r="497" spans="1:14" x14ac:dyDescent="0.3">
      <c r="A497" s="2" t="s">
        <v>14</v>
      </c>
      <c r="B497" s="2" t="s">
        <v>15</v>
      </c>
      <c r="C497" s="2" t="s">
        <v>16</v>
      </c>
      <c r="D497" s="2" t="str">
        <f>("078367")</f>
        <v>078367</v>
      </c>
      <c r="E497" s="2" t="str">
        <f>("622454783676")</f>
        <v>622454783676</v>
      </c>
      <c r="G497" s="2" t="s">
        <v>564</v>
      </c>
      <c r="H497" s="5">
        <v>4514.17</v>
      </c>
      <c r="I497" s="2" t="s">
        <v>18</v>
      </c>
      <c r="J497" s="3">
        <v>43013</v>
      </c>
      <c r="K497" s="2">
        <v>0.47499999999999998</v>
      </c>
      <c r="L497" s="2">
        <v>1.0469999999999999</v>
      </c>
      <c r="M497" s="2">
        <v>10</v>
      </c>
      <c r="N497" s="2" t="s">
        <v>550</v>
      </c>
    </row>
    <row r="498" spans="1:14" x14ac:dyDescent="0.3">
      <c r="A498" s="2" t="s">
        <v>14</v>
      </c>
      <c r="B498" s="2" t="s">
        <v>15</v>
      </c>
      <c r="C498" s="2" t="s">
        <v>16</v>
      </c>
      <c r="D498" s="2" t="str">
        <f>("078368")</f>
        <v>078368</v>
      </c>
      <c r="E498" s="2" t="str">
        <f>("622454783683")</f>
        <v>622454783683</v>
      </c>
      <c r="G498" s="2" t="s">
        <v>565</v>
      </c>
      <c r="H498" s="5">
        <v>4816.18</v>
      </c>
      <c r="I498" s="2" t="s">
        <v>18</v>
      </c>
      <c r="J498" s="3">
        <v>43013</v>
      </c>
      <c r="K498" s="2">
        <v>0.161</v>
      </c>
      <c r="L498" s="2">
        <v>0.35499999999999998</v>
      </c>
      <c r="M498" s="2">
        <v>15</v>
      </c>
      <c r="N498" s="2" t="s">
        <v>550</v>
      </c>
    </row>
    <row r="499" spans="1:14" x14ac:dyDescent="0.3">
      <c r="A499" s="2" t="s">
        <v>14</v>
      </c>
      <c r="B499" s="2" t="s">
        <v>15</v>
      </c>
      <c r="C499" s="2" t="s">
        <v>16</v>
      </c>
      <c r="D499" s="2" t="str">
        <f>("078240")</f>
        <v>078240</v>
      </c>
      <c r="E499" s="2" t="str">
        <f>("622454014169")</f>
        <v>622454014169</v>
      </c>
      <c r="G499" s="2" t="s">
        <v>566</v>
      </c>
      <c r="H499" s="5">
        <v>4999.04</v>
      </c>
      <c r="I499" s="2" t="s">
        <v>18</v>
      </c>
      <c r="J499" s="3">
        <v>43013</v>
      </c>
      <c r="K499" s="2">
        <v>3.5000000000000003E-2</v>
      </c>
      <c r="L499" s="2">
        <v>7.6999999999999999E-2</v>
      </c>
      <c r="M499" s="2">
        <v>10</v>
      </c>
      <c r="N499" s="2" t="s">
        <v>567</v>
      </c>
    </row>
    <row r="500" spans="1:14" x14ac:dyDescent="0.3">
      <c r="A500" s="2" t="s">
        <v>14</v>
      </c>
      <c r="B500" s="2" t="s">
        <v>15</v>
      </c>
      <c r="C500" s="2" t="s">
        <v>16</v>
      </c>
      <c r="D500" s="2" t="str">
        <f>("078209")</f>
        <v>078209</v>
      </c>
      <c r="E500" s="2" t="str">
        <f>("622454014176")</f>
        <v>622454014176</v>
      </c>
      <c r="G500" s="2" t="s">
        <v>568</v>
      </c>
      <c r="H500" s="5">
        <v>4922.32</v>
      </c>
      <c r="I500" s="2" t="s">
        <v>18</v>
      </c>
      <c r="J500" s="3">
        <v>43013</v>
      </c>
      <c r="K500" s="2">
        <v>4.3999999999999997E-2</v>
      </c>
      <c r="L500" s="2">
        <v>9.7000000000000003E-2</v>
      </c>
      <c r="M500" s="2">
        <v>50</v>
      </c>
      <c r="N500" s="2" t="s">
        <v>567</v>
      </c>
    </row>
    <row r="501" spans="1:14" x14ac:dyDescent="0.3">
      <c r="A501" s="2" t="s">
        <v>14</v>
      </c>
      <c r="B501" s="2" t="s">
        <v>15</v>
      </c>
      <c r="C501" s="2" t="s">
        <v>16</v>
      </c>
      <c r="D501" s="2" t="str">
        <f>("078208")</f>
        <v>078208</v>
      </c>
      <c r="E501" s="2" t="str">
        <f>("622454014183")</f>
        <v>622454014183</v>
      </c>
      <c r="G501" s="2" t="s">
        <v>569</v>
      </c>
      <c r="H501" s="5">
        <v>5163.84</v>
      </c>
      <c r="I501" s="2" t="s">
        <v>18</v>
      </c>
      <c r="J501" s="3">
        <v>43013</v>
      </c>
      <c r="K501" s="2">
        <v>6.3E-2</v>
      </c>
      <c r="L501" s="2">
        <v>0.13900000000000001</v>
      </c>
      <c r="M501" s="2">
        <v>40</v>
      </c>
      <c r="N501" s="2" t="s">
        <v>567</v>
      </c>
    </row>
    <row r="502" spans="1:14" x14ac:dyDescent="0.3">
      <c r="A502" s="2" t="s">
        <v>14</v>
      </c>
      <c r="B502" s="2" t="s">
        <v>15</v>
      </c>
      <c r="C502" s="2" t="s">
        <v>16</v>
      </c>
      <c r="D502" s="2" t="str">
        <f>("078204")</f>
        <v>078204</v>
      </c>
      <c r="E502" s="2" t="str">
        <f>("622454014190")</f>
        <v>622454014190</v>
      </c>
      <c r="G502" s="2" t="s">
        <v>570</v>
      </c>
      <c r="H502" s="5">
        <v>5208.54</v>
      </c>
      <c r="I502" s="2" t="s">
        <v>18</v>
      </c>
      <c r="J502" s="3">
        <v>43013</v>
      </c>
      <c r="K502" s="2">
        <v>9.2999999999999999E-2</v>
      </c>
      <c r="L502" s="2">
        <v>0.20499999999999999</v>
      </c>
      <c r="M502" s="2">
        <v>25</v>
      </c>
      <c r="N502" s="2" t="s">
        <v>567</v>
      </c>
    </row>
    <row r="503" spans="1:14" x14ac:dyDescent="0.3">
      <c r="A503" s="2" t="s">
        <v>14</v>
      </c>
      <c r="B503" s="2" t="s">
        <v>15</v>
      </c>
      <c r="C503" s="2" t="s">
        <v>16</v>
      </c>
      <c r="D503" s="2" t="str">
        <f>("078045")</f>
        <v>078045</v>
      </c>
      <c r="E503" s="2" t="str">
        <f>("622454014206")</f>
        <v>622454014206</v>
      </c>
      <c r="G503" s="2" t="s">
        <v>571</v>
      </c>
      <c r="H503" s="5">
        <v>5325.42</v>
      </c>
      <c r="I503" s="2" t="s">
        <v>18</v>
      </c>
      <c r="J503" s="3">
        <v>43013</v>
      </c>
      <c r="K503" s="2">
        <v>0.106</v>
      </c>
      <c r="L503" s="2">
        <v>0.23400000000000001</v>
      </c>
      <c r="M503" s="2">
        <v>15</v>
      </c>
      <c r="N503" s="2" t="s">
        <v>567</v>
      </c>
    </row>
    <row r="504" spans="1:14" x14ac:dyDescent="0.3">
      <c r="A504" s="2" t="s">
        <v>14</v>
      </c>
      <c r="B504" s="2" t="s">
        <v>15</v>
      </c>
      <c r="C504" s="2" t="s">
        <v>16</v>
      </c>
      <c r="D504" s="2" t="str">
        <f>("078388")</f>
        <v>078388</v>
      </c>
      <c r="E504" s="2" t="str">
        <f>("622454014213")</f>
        <v>622454014213</v>
      </c>
      <c r="G504" s="2" t="s">
        <v>572</v>
      </c>
      <c r="H504" s="5">
        <v>5675.22</v>
      </c>
      <c r="I504" s="2" t="s">
        <v>18</v>
      </c>
      <c r="J504" s="3">
        <v>43013</v>
      </c>
      <c r="K504" s="2">
        <v>0.13500000000000001</v>
      </c>
      <c r="L504" s="2">
        <v>0.29799999999999999</v>
      </c>
      <c r="M504" s="2">
        <v>10</v>
      </c>
      <c r="N504" s="2" t="s">
        <v>567</v>
      </c>
    </row>
    <row r="505" spans="1:14" x14ac:dyDescent="0.3">
      <c r="A505" s="2" t="s">
        <v>14</v>
      </c>
      <c r="B505" s="2" t="s">
        <v>15</v>
      </c>
      <c r="C505" s="2" t="s">
        <v>16</v>
      </c>
      <c r="D505" s="2" t="str">
        <f>("077889")</f>
        <v>077889</v>
      </c>
      <c r="E505" s="2" t="str">
        <f>("622454778894")</f>
        <v>622454778894</v>
      </c>
      <c r="G505" s="2" t="s">
        <v>573</v>
      </c>
      <c r="H505" s="5">
        <v>52323.97</v>
      </c>
      <c r="I505" s="2" t="s">
        <v>18</v>
      </c>
      <c r="J505" s="3">
        <v>43013</v>
      </c>
      <c r="K505" s="2">
        <v>1.514</v>
      </c>
      <c r="L505" s="2">
        <v>3.3380000000000001</v>
      </c>
      <c r="M505" s="2">
        <v>1</v>
      </c>
      <c r="N505" s="2" t="s">
        <v>574</v>
      </c>
    </row>
    <row r="506" spans="1:14" x14ac:dyDescent="0.3">
      <c r="A506" s="2" t="s">
        <v>14</v>
      </c>
      <c r="B506" s="2" t="s">
        <v>15</v>
      </c>
      <c r="C506" s="2" t="s">
        <v>16</v>
      </c>
      <c r="D506" s="2" t="str">
        <f>("077890")</f>
        <v>077890</v>
      </c>
      <c r="E506" s="2" t="str">
        <f>("622454778900")</f>
        <v>622454778900</v>
      </c>
      <c r="G506" s="2" t="s">
        <v>575</v>
      </c>
      <c r="H506" s="5">
        <v>64598.25</v>
      </c>
      <c r="I506" s="2" t="s">
        <v>18</v>
      </c>
      <c r="J506" s="3">
        <v>43013</v>
      </c>
      <c r="K506" s="2">
        <v>3.585</v>
      </c>
      <c r="L506" s="2">
        <v>7.9039999999999999</v>
      </c>
      <c r="M506" s="2">
        <v>1</v>
      </c>
      <c r="N506" s="2" t="s">
        <v>574</v>
      </c>
    </row>
    <row r="507" spans="1:14" x14ac:dyDescent="0.3">
      <c r="A507" s="2" t="s">
        <v>14</v>
      </c>
      <c r="B507" s="2" t="s">
        <v>15</v>
      </c>
      <c r="C507" s="2" t="s">
        <v>16</v>
      </c>
      <c r="D507" s="2" t="str">
        <f>("077891")</f>
        <v>077891</v>
      </c>
      <c r="E507" s="2" t="str">
        <f>("622454778917")</f>
        <v>622454778917</v>
      </c>
      <c r="G507" s="2" t="s">
        <v>576</v>
      </c>
      <c r="H507" s="5">
        <v>83071.44</v>
      </c>
      <c r="I507" s="2" t="s">
        <v>18</v>
      </c>
      <c r="J507" s="3">
        <v>43013</v>
      </c>
      <c r="K507" s="2">
        <v>4.8819999999999997</v>
      </c>
      <c r="L507" s="2">
        <v>10.763</v>
      </c>
      <c r="M507" s="2">
        <v>1</v>
      </c>
      <c r="N507" s="2" t="s">
        <v>574</v>
      </c>
    </row>
    <row r="508" spans="1:14" x14ac:dyDescent="0.3">
      <c r="A508" s="2" t="s">
        <v>14</v>
      </c>
      <c r="B508" s="2" t="s">
        <v>15</v>
      </c>
      <c r="C508" s="2" t="s">
        <v>16</v>
      </c>
      <c r="D508" s="2" t="str">
        <f>("068371")</f>
        <v>068371</v>
      </c>
      <c r="E508" s="2" t="str">
        <f>("622454683716")</f>
        <v>622454683716</v>
      </c>
      <c r="G508" s="2" t="s">
        <v>577</v>
      </c>
      <c r="H508" s="5">
        <v>4816.2</v>
      </c>
      <c r="I508" s="2" t="s">
        <v>18</v>
      </c>
      <c r="J508" s="3">
        <v>43013</v>
      </c>
      <c r="K508" s="2">
        <v>1.1870000000000001</v>
      </c>
      <c r="L508" s="2">
        <v>2.617</v>
      </c>
      <c r="M508" s="2">
        <v>12</v>
      </c>
      <c r="N508" s="2" t="s">
        <v>578</v>
      </c>
    </row>
    <row r="509" spans="1:14" x14ac:dyDescent="0.3">
      <c r="A509" s="2" t="s">
        <v>14</v>
      </c>
      <c r="B509" s="2" t="s">
        <v>15</v>
      </c>
      <c r="C509" s="2" t="s">
        <v>16</v>
      </c>
      <c r="D509" s="2" t="str">
        <f>("068372")</f>
        <v>068372</v>
      </c>
      <c r="E509" s="2" t="str">
        <f>("622454683723")</f>
        <v>622454683723</v>
      </c>
      <c r="G509" s="2" t="s">
        <v>579</v>
      </c>
      <c r="H509" s="5">
        <v>7171.69</v>
      </c>
      <c r="I509" s="2" t="s">
        <v>18</v>
      </c>
      <c r="J509" s="3">
        <v>43013</v>
      </c>
      <c r="K509" s="2">
        <v>1.847</v>
      </c>
      <c r="L509" s="2">
        <v>4.0720000000000001</v>
      </c>
      <c r="M509" s="2">
        <v>9</v>
      </c>
      <c r="N509" s="2" t="s">
        <v>578</v>
      </c>
    </row>
    <row r="510" spans="1:14" x14ac:dyDescent="0.3">
      <c r="A510" s="2" t="s">
        <v>14</v>
      </c>
      <c r="B510" s="2" t="s">
        <v>15</v>
      </c>
      <c r="C510" s="2" t="s">
        <v>16</v>
      </c>
      <c r="D510" s="2" t="str">
        <f>("068373")</f>
        <v>068373</v>
      </c>
      <c r="E510" s="2" t="str">
        <f>("622454683730")</f>
        <v>622454683730</v>
      </c>
      <c r="G510" s="2" t="s">
        <v>580</v>
      </c>
      <c r="H510" s="5">
        <v>8600.34</v>
      </c>
      <c r="I510" s="2" t="s">
        <v>18</v>
      </c>
      <c r="J510" s="3">
        <v>43013</v>
      </c>
      <c r="K510" s="2">
        <v>1.0049999999999999</v>
      </c>
      <c r="L510" s="2">
        <v>2.2160000000000002</v>
      </c>
      <c r="M510" s="2">
        <v>114</v>
      </c>
      <c r="N510" s="2" t="s">
        <v>578</v>
      </c>
    </row>
    <row r="511" spans="1:14" x14ac:dyDescent="0.3">
      <c r="A511" s="2" t="s">
        <v>14</v>
      </c>
      <c r="B511" s="2" t="s">
        <v>15</v>
      </c>
      <c r="C511" s="2" t="s">
        <v>16</v>
      </c>
      <c r="D511" s="2" t="str">
        <f>("068374")</f>
        <v>068374</v>
      </c>
      <c r="E511" s="2" t="str">
        <f>("622454683747")</f>
        <v>622454683747</v>
      </c>
      <c r="G511" s="2" t="s">
        <v>581</v>
      </c>
      <c r="H511" s="5">
        <v>13635.56</v>
      </c>
      <c r="I511" s="2" t="s">
        <v>18</v>
      </c>
      <c r="J511" s="3">
        <v>43013</v>
      </c>
      <c r="K511" s="2">
        <v>3.82</v>
      </c>
      <c r="L511" s="2">
        <v>8.4220000000000006</v>
      </c>
      <c r="M511" s="2">
        <v>5</v>
      </c>
      <c r="N511" s="2" t="s">
        <v>578</v>
      </c>
    </row>
    <row r="512" spans="1:14" x14ac:dyDescent="0.3">
      <c r="A512" s="2" t="s">
        <v>14</v>
      </c>
      <c r="B512" s="2" t="s">
        <v>15</v>
      </c>
      <c r="C512" s="2" t="s">
        <v>16</v>
      </c>
      <c r="D512" s="2" t="str">
        <f>("078328")</f>
        <v>078328</v>
      </c>
      <c r="E512" s="2" t="str">
        <f>("622454783287")</f>
        <v>622454783287</v>
      </c>
      <c r="G512" s="2" t="s">
        <v>582</v>
      </c>
      <c r="H512" s="5">
        <v>7385.28</v>
      </c>
      <c r="I512" s="2" t="s">
        <v>18</v>
      </c>
      <c r="J512" s="3">
        <v>43013</v>
      </c>
      <c r="K512" s="2">
        <v>0.16500000000000001</v>
      </c>
      <c r="L512" s="2">
        <v>0.36399999999999999</v>
      </c>
      <c r="M512" s="2">
        <v>25</v>
      </c>
      <c r="N512" s="2" t="s">
        <v>583</v>
      </c>
    </row>
    <row r="513" spans="1:14" x14ac:dyDescent="0.3">
      <c r="A513" s="2" t="s">
        <v>14</v>
      </c>
      <c r="B513" s="2" t="s">
        <v>15</v>
      </c>
      <c r="C513" s="2" t="s">
        <v>16</v>
      </c>
      <c r="D513" s="2" t="str">
        <f>("078329")</f>
        <v>078329</v>
      </c>
      <c r="E513" s="2" t="str">
        <f>("622454783294")</f>
        <v>622454783294</v>
      </c>
      <c r="G513" s="2" t="s">
        <v>584</v>
      </c>
      <c r="H513" s="5">
        <v>7419.08</v>
      </c>
      <c r="I513" s="2" t="s">
        <v>18</v>
      </c>
      <c r="J513" s="3">
        <v>43013</v>
      </c>
      <c r="K513" s="2">
        <v>0.153</v>
      </c>
      <c r="L513" s="2">
        <v>0.33700000000000002</v>
      </c>
      <c r="M513" s="2">
        <v>25</v>
      </c>
      <c r="N513" s="2" t="s">
        <v>583</v>
      </c>
    </row>
    <row r="514" spans="1:14" x14ac:dyDescent="0.3">
      <c r="A514" s="2" t="s">
        <v>14</v>
      </c>
      <c r="B514" s="2" t="s">
        <v>15</v>
      </c>
      <c r="C514" s="2" t="s">
        <v>16</v>
      </c>
      <c r="D514" s="2" t="str">
        <f>("078330")</f>
        <v>078330</v>
      </c>
      <c r="E514" s="2" t="str">
        <f>("622454783300")</f>
        <v>622454783300</v>
      </c>
      <c r="G514" s="2" t="s">
        <v>585</v>
      </c>
      <c r="H514" s="5">
        <v>7712.69</v>
      </c>
      <c r="I514" s="2" t="s">
        <v>18</v>
      </c>
      <c r="J514" s="3">
        <v>43013</v>
      </c>
      <c r="K514" s="2">
        <v>0.217</v>
      </c>
      <c r="L514" s="2">
        <v>0.47799999999999998</v>
      </c>
      <c r="M514" s="2">
        <v>40</v>
      </c>
      <c r="N514" s="2" t="s">
        <v>583</v>
      </c>
    </row>
    <row r="515" spans="1:14" x14ac:dyDescent="0.3">
      <c r="A515" s="2" t="s">
        <v>14</v>
      </c>
      <c r="B515" s="2" t="s">
        <v>15</v>
      </c>
      <c r="C515" s="2" t="s">
        <v>16</v>
      </c>
      <c r="D515" s="2" t="str">
        <f>("078331")</f>
        <v>078331</v>
      </c>
      <c r="E515" s="2" t="str">
        <f>("622454783317")</f>
        <v>622454783317</v>
      </c>
      <c r="G515" s="2" t="s">
        <v>586</v>
      </c>
      <c r="H515" s="5">
        <v>7948.98</v>
      </c>
      <c r="I515" s="2" t="s">
        <v>18</v>
      </c>
      <c r="J515" s="3">
        <v>43013</v>
      </c>
      <c r="K515" s="2">
        <v>0.31</v>
      </c>
      <c r="L515" s="2">
        <v>0.68300000000000005</v>
      </c>
      <c r="M515" s="2">
        <v>20</v>
      </c>
      <c r="N515" s="2" t="s">
        <v>583</v>
      </c>
    </row>
    <row r="516" spans="1:14" x14ac:dyDescent="0.3">
      <c r="A516" s="2" t="s">
        <v>14</v>
      </c>
      <c r="B516" s="2" t="s">
        <v>15</v>
      </c>
      <c r="C516" s="2" t="s">
        <v>16</v>
      </c>
      <c r="D516" s="2" t="str">
        <f>("078332")</f>
        <v>078332</v>
      </c>
      <c r="E516" s="2" t="str">
        <f>("622454783324")</f>
        <v>622454783324</v>
      </c>
      <c r="G516" s="2" t="s">
        <v>587</v>
      </c>
      <c r="H516" s="5">
        <v>8067.13</v>
      </c>
      <c r="I516" s="2" t="s">
        <v>18</v>
      </c>
      <c r="J516" s="3">
        <v>43013</v>
      </c>
      <c r="K516" s="2">
        <v>0.39500000000000002</v>
      </c>
      <c r="L516" s="2">
        <v>0.871</v>
      </c>
      <c r="M516" s="2">
        <v>20</v>
      </c>
      <c r="N516" s="2" t="s">
        <v>583</v>
      </c>
    </row>
    <row r="517" spans="1:14" x14ac:dyDescent="0.3">
      <c r="A517" s="2" t="s">
        <v>14</v>
      </c>
      <c r="B517" s="2" t="s">
        <v>15</v>
      </c>
      <c r="C517" s="2" t="s">
        <v>16</v>
      </c>
      <c r="D517" s="2" t="str">
        <f>("078333")</f>
        <v>078333</v>
      </c>
      <c r="E517" s="2" t="str">
        <f>("622454783331")</f>
        <v>622454783331</v>
      </c>
      <c r="G517" s="2" t="s">
        <v>588</v>
      </c>
      <c r="H517" s="5">
        <v>8110.97</v>
      </c>
      <c r="I517" s="2" t="s">
        <v>18</v>
      </c>
      <c r="J517" s="3">
        <v>43013</v>
      </c>
      <c r="K517" s="2">
        <v>0.58599999999999997</v>
      </c>
      <c r="L517" s="2">
        <v>1.292</v>
      </c>
      <c r="M517" s="2">
        <v>10</v>
      </c>
      <c r="N517" s="2" t="s">
        <v>583</v>
      </c>
    </row>
    <row r="518" spans="1:14" x14ac:dyDescent="0.3">
      <c r="A518" s="2" t="s">
        <v>14</v>
      </c>
      <c r="B518" s="2" t="s">
        <v>15</v>
      </c>
      <c r="C518" s="2" t="s">
        <v>16</v>
      </c>
      <c r="D518" s="2" t="str">
        <f>("078334")</f>
        <v>078334</v>
      </c>
      <c r="E518" s="2" t="str">
        <f>("622454783348")</f>
        <v>622454783348</v>
      </c>
      <c r="G518" s="2" t="s">
        <v>589</v>
      </c>
      <c r="H518" s="5">
        <v>11999.42</v>
      </c>
      <c r="I518" s="2" t="s">
        <v>18</v>
      </c>
      <c r="J518" s="3">
        <v>43013</v>
      </c>
      <c r="K518" s="2">
        <v>1.6080000000000001</v>
      </c>
      <c r="L518" s="2">
        <v>3.5449999999999999</v>
      </c>
      <c r="M518" s="2">
        <v>9</v>
      </c>
      <c r="N518" s="2" t="s">
        <v>583</v>
      </c>
    </row>
    <row r="519" spans="1:14" x14ac:dyDescent="0.3">
      <c r="A519" s="2" t="s">
        <v>14</v>
      </c>
      <c r="B519" s="2" t="s">
        <v>15</v>
      </c>
      <c r="C519" s="2" t="s">
        <v>16</v>
      </c>
      <c r="D519" s="2" t="str">
        <f>("078336")</f>
        <v>078336</v>
      </c>
      <c r="E519" s="2" t="str">
        <f>("622454783362")</f>
        <v>622454783362</v>
      </c>
      <c r="G519" s="2" t="s">
        <v>590</v>
      </c>
      <c r="H519" s="5">
        <v>15189.16</v>
      </c>
      <c r="I519" s="2" t="s">
        <v>18</v>
      </c>
      <c r="J519" s="3">
        <v>43013</v>
      </c>
      <c r="K519" s="2">
        <v>1.359</v>
      </c>
      <c r="L519" s="2">
        <v>2.996</v>
      </c>
      <c r="M519" s="2">
        <v>9</v>
      </c>
      <c r="N519" s="2" t="s">
        <v>583</v>
      </c>
    </row>
    <row r="520" spans="1:14" x14ac:dyDescent="0.3">
      <c r="A520" s="2" t="s">
        <v>14</v>
      </c>
      <c r="B520" s="2" t="s">
        <v>15</v>
      </c>
      <c r="C520" s="2" t="s">
        <v>16</v>
      </c>
      <c r="D520" s="2" t="str">
        <f>("078337")</f>
        <v>078337</v>
      </c>
      <c r="E520" s="2" t="str">
        <f>("622454783379")</f>
        <v>622454783379</v>
      </c>
      <c r="G520" s="2" t="s">
        <v>591</v>
      </c>
      <c r="H520" s="5">
        <v>18750.14</v>
      </c>
      <c r="I520" s="2" t="s">
        <v>18</v>
      </c>
      <c r="J520" s="3">
        <v>43013</v>
      </c>
      <c r="K520" s="2">
        <v>2.2639999999999998</v>
      </c>
      <c r="L520" s="2">
        <v>4.9909999999999997</v>
      </c>
      <c r="M520" s="2">
        <v>5</v>
      </c>
      <c r="N520" s="2" t="s">
        <v>583</v>
      </c>
    </row>
    <row r="521" spans="1:14" x14ac:dyDescent="0.3">
      <c r="A521" s="2" t="s">
        <v>14</v>
      </c>
      <c r="B521" s="2" t="s">
        <v>15</v>
      </c>
      <c r="C521" s="2" t="s">
        <v>16</v>
      </c>
      <c r="D521" s="2" t="str">
        <f>("078338")</f>
        <v>078338</v>
      </c>
      <c r="E521" s="2" t="str">
        <f>("622454783386")</f>
        <v>622454783386</v>
      </c>
      <c r="G521" s="2" t="s">
        <v>592</v>
      </c>
      <c r="H521" s="5">
        <v>22857.97</v>
      </c>
      <c r="I521" s="2" t="s">
        <v>18</v>
      </c>
      <c r="J521" s="3">
        <v>43013</v>
      </c>
      <c r="K521" s="2">
        <v>2.0179999999999998</v>
      </c>
      <c r="L521" s="2">
        <v>4.4489999999999998</v>
      </c>
      <c r="M521" s="2">
        <v>5</v>
      </c>
      <c r="N521" s="2" t="s">
        <v>583</v>
      </c>
    </row>
    <row r="522" spans="1:14" x14ac:dyDescent="0.3">
      <c r="A522" s="2" t="s">
        <v>14</v>
      </c>
      <c r="B522" s="2" t="s">
        <v>15</v>
      </c>
      <c r="C522" s="2" t="s">
        <v>16</v>
      </c>
      <c r="D522" s="2" t="str">
        <f>("078339")</f>
        <v>078339</v>
      </c>
      <c r="E522" s="2" t="str">
        <f>("622454783393")</f>
        <v>622454783393</v>
      </c>
      <c r="G522" s="2" t="s">
        <v>593</v>
      </c>
      <c r="H522" s="5">
        <v>0</v>
      </c>
      <c r="I522" s="2" t="s">
        <v>18</v>
      </c>
      <c r="J522" s="3">
        <v>43013</v>
      </c>
      <c r="K522" s="2">
        <v>6.452</v>
      </c>
      <c r="L522" s="2">
        <v>14.224</v>
      </c>
      <c r="M522" s="2">
        <v>30</v>
      </c>
      <c r="N522" s="2" t="s">
        <v>583</v>
      </c>
    </row>
    <row r="523" spans="1:14" x14ac:dyDescent="0.3">
      <c r="A523" s="2" t="s">
        <v>14</v>
      </c>
      <c r="B523" s="2" t="s">
        <v>15</v>
      </c>
      <c r="C523" s="2" t="s">
        <v>16</v>
      </c>
      <c r="D523" s="2" t="str">
        <f>("078340")</f>
        <v>078340</v>
      </c>
      <c r="E523" s="2" t="str">
        <f>("622454783409")</f>
        <v>622454783409</v>
      </c>
      <c r="G523" s="2" t="s">
        <v>594</v>
      </c>
      <c r="H523" s="5">
        <v>0</v>
      </c>
      <c r="I523" s="2" t="s">
        <v>18</v>
      </c>
      <c r="J523" s="3">
        <v>43013</v>
      </c>
      <c r="K523" s="2">
        <v>10.247999999999999</v>
      </c>
      <c r="L523" s="2">
        <v>22.593</v>
      </c>
      <c r="M523" s="2">
        <v>25</v>
      </c>
      <c r="N523" s="2" t="s">
        <v>583</v>
      </c>
    </row>
    <row r="524" spans="1:14" x14ac:dyDescent="0.3">
      <c r="A524" s="2" t="s">
        <v>14</v>
      </c>
      <c r="B524" s="2" t="s">
        <v>15</v>
      </c>
      <c r="C524" s="2" t="s">
        <v>16</v>
      </c>
      <c r="D524" s="2" t="str">
        <f>("077680")</f>
        <v>077680</v>
      </c>
      <c r="E524" s="2" t="str">
        <f>("622454340695")</f>
        <v>622454340695</v>
      </c>
      <c r="G524" s="2" t="s">
        <v>595</v>
      </c>
      <c r="H524" s="5">
        <v>9733.17</v>
      </c>
      <c r="I524" s="2" t="s">
        <v>18</v>
      </c>
      <c r="J524" s="3">
        <v>43013</v>
      </c>
      <c r="K524" s="2">
        <v>0.81799999999999995</v>
      </c>
      <c r="L524" s="2">
        <v>1.8029999999999999</v>
      </c>
      <c r="M524" s="2">
        <v>20</v>
      </c>
      <c r="N524" s="2" t="s">
        <v>596</v>
      </c>
    </row>
    <row r="525" spans="1:14" x14ac:dyDescent="0.3">
      <c r="A525" s="2" t="s">
        <v>14</v>
      </c>
      <c r="B525" s="2" t="s">
        <v>15</v>
      </c>
      <c r="C525" s="2" t="s">
        <v>16</v>
      </c>
      <c r="D525" s="2" t="str">
        <f>("077398")</f>
        <v>077398</v>
      </c>
      <c r="E525" s="2" t="str">
        <f>("622454773981")</f>
        <v>622454773981</v>
      </c>
      <c r="G525" s="2" t="s">
        <v>597</v>
      </c>
      <c r="H525" s="5">
        <v>14851.14</v>
      </c>
      <c r="I525" s="2" t="s">
        <v>18</v>
      </c>
      <c r="J525" s="3">
        <v>43013</v>
      </c>
      <c r="K525" s="2">
        <v>1.5820000000000001</v>
      </c>
      <c r="L525" s="2">
        <v>3.488</v>
      </c>
      <c r="M525" s="2">
        <v>135</v>
      </c>
      <c r="N525" s="2" t="s">
        <v>596</v>
      </c>
    </row>
    <row r="526" spans="1:14" x14ac:dyDescent="0.3">
      <c r="A526" s="2" t="s">
        <v>14</v>
      </c>
      <c r="B526" s="2" t="s">
        <v>15</v>
      </c>
      <c r="C526" s="2" t="s">
        <v>16</v>
      </c>
      <c r="D526" s="2" t="str">
        <f>("077681")</f>
        <v>077681</v>
      </c>
      <c r="E526" s="2" t="str">
        <f>("622454340701")</f>
        <v>622454340701</v>
      </c>
      <c r="G526" s="2" t="s">
        <v>598</v>
      </c>
      <c r="H526" s="5">
        <v>15189.17</v>
      </c>
      <c r="I526" s="2" t="s">
        <v>18</v>
      </c>
      <c r="J526" s="3">
        <v>43013</v>
      </c>
      <c r="K526" s="2">
        <v>3.3149999999999999</v>
      </c>
      <c r="L526" s="2">
        <v>7.3079999999999998</v>
      </c>
      <c r="M526" s="2">
        <v>9</v>
      </c>
      <c r="N526" s="2" t="s">
        <v>596</v>
      </c>
    </row>
    <row r="527" spans="1:14" x14ac:dyDescent="0.3">
      <c r="A527" s="2" t="s">
        <v>14</v>
      </c>
      <c r="B527" s="2" t="s">
        <v>15</v>
      </c>
      <c r="C527" s="2" t="s">
        <v>16</v>
      </c>
      <c r="D527" s="2" t="str">
        <f>("077682")</f>
        <v>077682</v>
      </c>
      <c r="E527" s="2" t="str">
        <f>("622454340718")</f>
        <v>622454340718</v>
      </c>
      <c r="G527" s="2" t="s">
        <v>599</v>
      </c>
      <c r="H527" s="5">
        <v>22857.97</v>
      </c>
      <c r="I527" s="2" t="s">
        <v>18</v>
      </c>
      <c r="J527" s="3">
        <v>43013</v>
      </c>
      <c r="K527" s="2">
        <v>2.758</v>
      </c>
      <c r="L527" s="2">
        <v>6.08</v>
      </c>
      <c r="M527" s="2">
        <v>6</v>
      </c>
      <c r="N527" s="2" t="s">
        <v>596</v>
      </c>
    </row>
    <row r="528" spans="1:14" x14ac:dyDescent="0.3">
      <c r="A528" s="2" t="s">
        <v>14</v>
      </c>
      <c r="B528" s="2" t="s">
        <v>15</v>
      </c>
      <c r="C528" s="2" t="s">
        <v>16</v>
      </c>
      <c r="D528" s="2" t="str">
        <f>("077314")</f>
        <v>077314</v>
      </c>
      <c r="E528" s="2" t="str">
        <f>("622454773141")</f>
        <v>622454773141</v>
      </c>
      <c r="G528" s="2" t="s">
        <v>600</v>
      </c>
      <c r="H528" s="5">
        <v>1009.87</v>
      </c>
      <c r="I528" s="2" t="s">
        <v>18</v>
      </c>
      <c r="J528" s="3">
        <v>43013</v>
      </c>
      <c r="K528" s="2">
        <v>1.2E-2</v>
      </c>
      <c r="L528" s="2">
        <v>2.5999999999999999E-2</v>
      </c>
      <c r="M528" s="2">
        <v>250</v>
      </c>
      <c r="N528" s="2" t="s">
        <v>550</v>
      </c>
    </row>
    <row r="529" spans="1:14" x14ac:dyDescent="0.3">
      <c r="A529" s="2" t="s">
        <v>14</v>
      </c>
      <c r="B529" s="2" t="s">
        <v>15</v>
      </c>
      <c r="C529" s="2" t="s">
        <v>16</v>
      </c>
      <c r="D529" s="2" t="str">
        <f>("077315")</f>
        <v>077315</v>
      </c>
      <c r="E529" s="2" t="str">
        <f>("622454773158")</f>
        <v>622454773158</v>
      </c>
      <c r="G529" s="2" t="s">
        <v>601</v>
      </c>
      <c r="H529" s="5">
        <v>1507.61</v>
      </c>
      <c r="I529" s="2" t="s">
        <v>18</v>
      </c>
      <c r="J529" s="3">
        <v>43013</v>
      </c>
      <c r="K529" s="2">
        <v>2.5999999999999999E-2</v>
      </c>
      <c r="L529" s="2">
        <v>5.7000000000000002E-2</v>
      </c>
      <c r="M529" s="2">
        <v>200</v>
      </c>
      <c r="N529" s="2" t="s">
        <v>550</v>
      </c>
    </row>
    <row r="530" spans="1:14" x14ac:dyDescent="0.3">
      <c r="A530" s="2" t="s">
        <v>14</v>
      </c>
      <c r="B530" s="2" t="s">
        <v>15</v>
      </c>
      <c r="C530" s="2" t="s">
        <v>16</v>
      </c>
      <c r="D530" s="2" t="str">
        <f>("077316")</f>
        <v>077316</v>
      </c>
      <c r="E530" s="2" t="str">
        <f>("622454773165")</f>
        <v>622454773165</v>
      </c>
      <c r="G530" s="2" t="s">
        <v>602</v>
      </c>
      <c r="H530" s="5">
        <v>1213.96</v>
      </c>
      <c r="I530" s="2" t="s">
        <v>18</v>
      </c>
      <c r="J530" s="3">
        <v>43013</v>
      </c>
      <c r="K530" s="2">
        <v>2.1999999999999999E-2</v>
      </c>
      <c r="L530" s="2">
        <v>4.9000000000000002E-2</v>
      </c>
      <c r="M530" s="2">
        <v>200</v>
      </c>
      <c r="N530" s="2" t="s">
        <v>550</v>
      </c>
    </row>
    <row r="531" spans="1:14" x14ac:dyDescent="0.3">
      <c r="A531" s="2" t="s">
        <v>14</v>
      </c>
      <c r="B531" s="2" t="s">
        <v>15</v>
      </c>
      <c r="C531" s="2" t="s">
        <v>16</v>
      </c>
      <c r="D531" s="2" t="str">
        <f>("078398")</f>
        <v>078398</v>
      </c>
      <c r="E531" s="2" t="str">
        <f>("622454783980")</f>
        <v>622454783980</v>
      </c>
      <c r="G531" s="2" t="s">
        <v>603</v>
      </c>
      <c r="H531" s="5">
        <v>4345.47</v>
      </c>
      <c r="I531" s="2" t="s">
        <v>18</v>
      </c>
      <c r="J531" s="3">
        <v>43013</v>
      </c>
      <c r="K531" s="2">
        <v>0.158</v>
      </c>
      <c r="L531" s="2">
        <v>0.34799999999999998</v>
      </c>
      <c r="M531" s="2">
        <v>30</v>
      </c>
      <c r="N531" s="2" t="s">
        <v>604</v>
      </c>
    </row>
    <row r="532" spans="1:14" x14ac:dyDescent="0.3">
      <c r="A532" s="2" t="s">
        <v>14</v>
      </c>
      <c r="B532" s="2" t="s">
        <v>15</v>
      </c>
      <c r="C532" s="2" t="s">
        <v>16</v>
      </c>
      <c r="D532" s="2" t="str">
        <f>("078399")</f>
        <v>078399</v>
      </c>
      <c r="E532" s="2" t="str">
        <f>("622454783997")</f>
        <v>622454783997</v>
      </c>
      <c r="G532" s="2" t="s">
        <v>605</v>
      </c>
      <c r="H532" s="5">
        <v>2625.9</v>
      </c>
      <c r="I532" s="2" t="s">
        <v>18</v>
      </c>
      <c r="J532" s="3">
        <v>43013</v>
      </c>
      <c r="K532" s="2">
        <v>0.105</v>
      </c>
      <c r="L532" s="2">
        <v>0.23100000000000001</v>
      </c>
      <c r="M532" s="2">
        <v>30</v>
      </c>
      <c r="N532" s="2" t="s">
        <v>604</v>
      </c>
    </row>
    <row r="533" spans="1:14" x14ac:dyDescent="0.3">
      <c r="A533" s="2" t="s">
        <v>14</v>
      </c>
      <c r="B533" s="2" t="s">
        <v>15</v>
      </c>
      <c r="C533" s="2" t="s">
        <v>16</v>
      </c>
      <c r="D533" s="2" t="str">
        <f>("078400")</f>
        <v>078400</v>
      </c>
      <c r="E533" s="2" t="str">
        <f>("622454784000")</f>
        <v>622454784000</v>
      </c>
      <c r="G533" s="2" t="s">
        <v>606</v>
      </c>
      <c r="H533" s="5">
        <v>2469.1799999999998</v>
      </c>
      <c r="I533" s="2" t="s">
        <v>18</v>
      </c>
      <c r="J533" s="3">
        <v>43013</v>
      </c>
      <c r="K533" s="2">
        <v>0.16900000000000001</v>
      </c>
      <c r="L533" s="2">
        <v>0.373</v>
      </c>
      <c r="M533" s="2">
        <v>25</v>
      </c>
      <c r="N533" s="2" t="s">
        <v>604</v>
      </c>
    </row>
    <row r="534" spans="1:14" x14ac:dyDescent="0.3">
      <c r="A534" s="2" t="s">
        <v>14</v>
      </c>
      <c r="B534" s="2" t="s">
        <v>15</v>
      </c>
      <c r="C534" s="2" t="s">
        <v>16</v>
      </c>
      <c r="D534" s="2" t="str">
        <f>("078401")</f>
        <v>078401</v>
      </c>
      <c r="E534" s="2" t="str">
        <f>("622454784017")</f>
        <v>622454784017</v>
      </c>
      <c r="G534" s="2" t="s">
        <v>607</v>
      </c>
      <c r="H534" s="5">
        <v>2648.91</v>
      </c>
      <c r="I534" s="2" t="s">
        <v>18</v>
      </c>
      <c r="J534" s="3">
        <v>43013</v>
      </c>
      <c r="K534" s="2">
        <v>0.13500000000000001</v>
      </c>
      <c r="L534" s="2">
        <v>0.29799999999999999</v>
      </c>
      <c r="M534" s="2">
        <v>25</v>
      </c>
      <c r="N534" s="2" t="s">
        <v>604</v>
      </c>
    </row>
    <row r="535" spans="1:14" x14ac:dyDescent="0.3">
      <c r="A535" s="2" t="s">
        <v>14</v>
      </c>
      <c r="B535" s="2" t="s">
        <v>15</v>
      </c>
      <c r="C535" s="2" t="s">
        <v>16</v>
      </c>
      <c r="D535" s="2" t="str">
        <f>("078402")</f>
        <v>078402</v>
      </c>
      <c r="E535" s="2" t="str">
        <f>("622454784024")</f>
        <v>622454784024</v>
      </c>
      <c r="G535" s="2" t="s">
        <v>608</v>
      </c>
      <c r="H535" s="5">
        <v>4894.8999999999996</v>
      </c>
      <c r="I535" s="2" t="s">
        <v>18</v>
      </c>
      <c r="J535" s="3">
        <v>43013</v>
      </c>
      <c r="K535" s="2">
        <v>0.27200000000000002</v>
      </c>
      <c r="L535" s="2">
        <v>0.6</v>
      </c>
      <c r="M535" s="2">
        <v>25</v>
      </c>
      <c r="N535" s="2" t="s">
        <v>604</v>
      </c>
    </row>
    <row r="536" spans="1:14" x14ac:dyDescent="0.3">
      <c r="A536" s="2" t="s">
        <v>14</v>
      </c>
      <c r="B536" s="2" t="s">
        <v>15</v>
      </c>
      <c r="C536" s="2" t="s">
        <v>16</v>
      </c>
      <c r="D536" s="2" t="str">
        <f>("078404")</f>
        <v>078404</v>
      </c>
      <c r="E536" s="2" t="str">
        <f>("622454784048")</f>
        <v>622454784048</v>
      </c>
      <c r="G536" s="2" t="s">
        <v>609</v>
      </c>
      <c r="H536" s="5">
        <v>4910.95</v>
      </c>
      <c r="I536" s="2" t="s">
        <v>18</v>
      </c>
      <c r="J536" s="3">
        <v>43013</v>
      </c>
      <c r="K536" s="2">
        <v>0.7</v>
      </c>
      <c r="L536" s="2">
        <v>1.5429999999999999</v>
      </c>
      <c r="M536" s="2">
        <v>25</v>
      </c>
      <c r="N536" s="2" t="s">
        <v>604</v>
      </c>
    </row>
    <row r="537" spans="1:14" x14ac:dyDescent="0.3">
      <c r="A537" s="2" t="s">
        <v>14</v>
      </c>
      <c r="B537" s="2" t="s">
        <v>15</v>
      </c>
      <c r="C537" s="2" t="s">
        <v>16</v>
      </c>
      <c r="D537" s="2" t="str">
        <f>("077322")</f>
        <v>077322</v>
      </c>
      <c r="E537" s="2" t="str">
        <f>("622454773226")</f>
        <v>622454773226</v>
      </c>
      <c r="G537" s="2" t="s">
        <v>610</v>
      </c>
      <c r="H537" s="5">
        <v>5055.74</v>
      </c>
      <c r="I537" s="2" t="s">
        <v>18</v>
      </c>
      <c r="J537" s="3">
        <v>43013</v>
      </c>
      <c r="K537" s="2">
        <v>1.41</v>
      </c>
      <c r="L537" s="2">
        <v>3.109</v>
      </c>
      <c r="M537" s="2">
        <v>25</v>
      </c>
      <c r="N537" s="2" t="s">
        <v>604</v>
      </c>
    </row>
    <row r="538" spans="1:14" x14ac:dyDescent="0.3">
      <c r="A538" s="2" t="s">
        <v>14</v>
      </c>
      <c r="B538" s="2" t="s">
        <v>15</v>
      </c>
      <c r="C538" s="2" t="s">
        <v>16</v>
      </c>
      <c r="D538" s="2" t="str">
        <f>("078407")</f>
        <v>078407</v>
      </c>
      <c r="E538" s="2" t="str">
        <f>("622454784079")</f>
        <v>622454784079</v>
      </c>
      <c r="G538" s="2" t="s">
        <v>611</v>
      </c>
      <c r="H538" s="5">
        <v>4960.24</v>
      </c>
      <c r="I538" s="2" t="s">
        <v>18</v>
      </c>
      <c r="J538" s="3">
        <v>43013</v>
      </c>
      <c r="K538" s="2">
        <v>0.38500000000000001</v>
      </c>
      <c r="L538" s="2">
        <v>0.84899999999999998</v>
      </c>
      <c r="M538" s="2">
        <v>20</v>
      </c>
      <c r="N538" s="2" t="s">
        <v>604</v>
      </c>
    </row>
    <row r="539" spans="1:14" x14ac:dyDescent="0.3">
      <c r="A539" s="2" t="s">
        <v>14</v>
      </c>
      <c r="B539" s="2" t="s">
        <v>15</v>
      </c>
      <c r="C539" s="2" t="s">
        <v>16</v>
      </c>
      <c r="D539" s="2" t="str">
        <f>("078408")</f>
        <v>078408</v>
      </c>
      <c r="E539" s="2" t="str">
        <f>("622454784086")</f>
        <v>622454784086</v>
      </c>
      <c r="G539" s="2" t="s">
        <v>612</v>
      </c>
      <c r="H539" s="5">
        <v>5248.53</v>
      </c>
      <c r="I539" s="2" t="s">
        <v>18</v>
      </c>
      <c r="J539" s="3">
        <v>43013</v>
      </c>
      <c r="K539" s="2">
        <v>1E-3</v>
      </c>
      <c r="L539" s="2">
        <v>2E-3</v>
      </c>
      <c r="M539" s="2">
        <v>1</v>
      </c>
      <c r="N539" s="2" t="s">
        <v>604</v>
      </c>
    </row>
    <row r="540" spans="1:14" x14ac:dyDescent="0.3">
      <c r="A540" s="2" t="s">
        <v>14</v>
      </c>
      <c r="B540" s="2" t="s">
        <v>15</v>
      </c>
      <c r="C540" s="2" t="s">
        <v>16</v>
      </c>
      <c r="D540" s="2" t="str">
        <f>("078409")</f>
        <v>078409</v>
      </c>
      <c r="E540" s="2" t="str">
        <f>("622454784093")</f>
        <v>622454784093</v>
      </c>
      <c r="G540" s="2" t="s">
        <v>613</v>
      </c>
      <c r="H540" s="5">
        <v>10681.64</v>
      </c>
      <c r="I540" s="2" t="s">
        <v>18</v>
      </c>
      <c r="J540" s="3">
        <v>43013</v>
      </c>
      <c r="K540" s="2">
        <v>0.80200000000000005</v>
      </c>
      <c r="L540" s="2">
        <v>1.768</v>
      </c>
      <c r="M540" s="2">
        <v>10</v>
      </c>
      <c r="N540" s="2" t="s">
        <v>604</v>
      </c>
    </row>
    <row r="541" spans="1:14" x14ac:dyDescent="0.3">
      <c r="A541" s="2" t="s">
        <v>14</v>
      </c>
      <c r="B541" s="2" t="s">
        <v>15</v>
      </c>
      <c r="C541" s="2" t="s">
        <v>16</v>
      </c>
      <c r="D541" s="2" t="str">
        <f>("078410")</f>
        <v>078410</v>
      </c>
      <c r="E541" s="2" t="str">
        <f>("622454784109")</f>
        <v>622454784109</v>
      </c>
      <c r="G541" s="2" t="s">
        <v>614</v>
      </c>
      <c r="H541" s="5">
        <v>17654.8</v>
      </c>
      <c r="I541" s="2" t="s">
        <v>18</v>
      </c>
      <c r="J541" s="3">
        <v>43013</v>
      </c>
      <c r="K541" s="2">
        <v>1.069</v>
      </c>
      <c r="L541" s="2">
        <v>2.3570000000000002</v>
      </c>
      <c r="M541" s="2">
        <v>8</v>
      </c>
      <c r="N541" s="2" t="s">
        <v>604</v>
      </c>
    </row>
    <row r="542" spans="1:14" x14ac:dyDescent="0.3">
      <c r="A542" s="2" t="s">
        <v>14</v>
      </c>
      <c r="B542" s="2" t="s">
        <v>15</v>
      </c>
      <c r="C542" s="2" t="s">
        <v>16</v>
      </c>
      <c r="D542" s="2" t="str">
        <f>("029550")</f>
        <v>029550</v>
      </c>
      <c r="E542" s="2" t="str">
        <f>("622454295506")</f>
        <v>622454295506</v>
      </c>
      <c r="G542" s="2" t="s">
        <v>615</v>
      </c>
      <c r="H542" s="5">
        <v>102.6</v>
      </c>
      <c r="I542" s="2" t="s">
        <v>18</v>
      </c>
      <c r="J542" s="3">
        <v>43013</v>
      </c>
      <c r="K542" s="2">
        <v>7.4999999999999997E-2</v>
      </c>
      <c r="L542" s="2">
        <v>0.16500000000000001</v>
      </c>
      <c r="M542" s="2">
        <v>150</v>
      </c>
      <c r="N542" s="2" t="s">
        <v>616</v>
      </c>
    </row>
    <row r="543" spans="1:14" x14ac:dyDescent="0.3">
      <c r="A543" s="2" t="s">
        <v>14</v>
      </c>
      <c r="B543" s="2" t="s">
        <v>15</v>
      </c>
      <c r="C543" s="2" t="s">
        <v>16</v>
      </c>
      <c r="D543" s="2" t="str">
        <f>("029551")</f>
        <v>029551</v>
      </c>
      <c r="E543" s="2" t="str">
        <f>("622454295513")</f>
        <v>622454295513</v>
      </c>
      <c r="G543" s="2" t="s">
        <v>617</v>
      </c>
      <c r="H543" s="5">
        <v>105.87</v>
      </c>
      <c r="I543" s="2" t="s">
        <v>18</v>
      </c>
      <c r="J543" s="3">
        <v>43013</v>
      </c>
      <c r="K543" s="2">
        <v>8.4000000000000005E-2</v>
      </c>
      <c r="L543" s="2">
        <v>0.185</v>
      </c>
      <c r="M543" s="2">
        <v>140</v>
      </c>
      <c r="N543" s="2" t="s">
        <v>616</v>
      </c>
    </row>
    <row r="544" spans="1:14" x14ac:dyDescent="0.3">
      <c r="A544" s="2" t="s">
        <v>14</v>
      </c>
      <c r="B544" s="2" t="s">
        <v>15</v>
      </c>
      <c r="C544" s="2" t="s">
        <v>16</v>
      </c>
      <c r="D544" s="2" t="str">
        <f>("029552")</f>
        <v>029552</v>
      </c>
      <c r="E544" s="2" t="str">
        <f>("622454295520")</f>
        <v>622454295520</v>
      </c>
      <c r="G544" s="2" t="s">
        <v>618</v>
      </c>
      <c r="H544" s="5">
        <v>115.74</v>
      </c>
      <c r="I544" s="2" t="s">
        <v>18</v>
      </c>
      <c r="J544" s="3">
        <v>43013</v>
      </c>
      <c r="K544" s="2">
        <v>9.9000000000000005E-2</v>
      </c>
      <c r="L544" s="2">
        <v>0.218</v>
      </c>
      <c r="M544" s="2">
        <v>140</v>
      </c>
      <c r="N544" s="2" t="s">
        <v>616</v>
      </c>
    </row>
    <row r="545" spans="1:14" x14ac:dyDescent="0.3">
      <c r="A545" s="2" t="s">
        <v>14</v>
      </c>
      <c r="B545" s="2" t="s">
        <v>15</v>
      </c>
      <c r="C545" s="2" t="s">
        <v>16</v>
      </c>
      <c r="D545" s="2" t="str">
        <f>("029553")</f>
        <v>029553</v>
      </c>
      <c r="E545" s="2" t="str">
        <f>("622454295537")</f>
        <v>622454295537</v>
      </c>
      <c r="G545" s="2" t="s">
        <v>619</v>
      </c>
      <c r="H545" s="5">
        <v>109.39</v>
      </c>
      <c r="I545" s="2" t="s">
        <v>18</v>
      </c>
      <c r="J545" s="3">
        <v>43013</v>
      </c>
      <c r="K545" s="2">
        <v>0.06</v>
      </c>
      <c r="L545" s="2">
        <v>0.13200000000000001</v>
      </c>
      <c r="M545" s="2">
        <v>250</v>
      </c>
      <c r="N545" s="2" t="s">
        <v>616</v>
      </c>
    </row>
    <row r="546" spans="1:14" x14ac:dyDescent="0.3">
      <c r="A546" s="2" t="s">
        <v>14</v>
      </c>
      <c r="B546" s="2" t="s">
        <v>15</v>
      </c>
      <c r="C546" s="2" t="s">
        <v>16</v>
      </c>
      <c r="D546" s="2" t="str">
        <f>("029554")</f>
        <v>029554</v>
      </c>
      <c r="E546" s="2" t="str">
        <f>("622454295544")</f>
        <v>622454295544</v>
      </c>
      <c r="G546" s="2" t="s">
        <v>620</v>
      </c>
      <c r="H546" s="5">
        <v>124.29</v>
      </c>
      <c r="I546" s="2" t="s">
        <v>18</v>
      </c>
      <c r="J546" s="3">
        <v>43013</v>
      </c>
      <c r="K546" s="2">
        <v>0.10199999999999999</v>
      </c>
      <c r="L546" s="2">
        <v>0.22500000000000001</v>
      </c>
      <c r="M546" s="2">
        <v>100</v>
      </c>
      <c r="N546" s="2" t="s">
        <v>616</v>
      </c>
    </row>
    <row r="547" spans="1:14" x14ac:dyDescent="0.3">
      <c r="A547" s="2" t="s">
        <v>14</v>
      </c>
      <c r="B547" s="2" t="s">
        <v>15</v>
      </c>
      <c r="C547" s="2" t="s">
        <v>16</v>
      </c>
      <c r="D547" s="2" t="str">
        <f>("029555")</f>
        <v>029555</v>
      </c>
      <c r="E547" s="2" t="str">
        <f>("622454295551")</f>
        <v>622454295551</v>
      </c>
      <c r="G547" s="2" t="s">
        <v>621</v>
      </c>
      <c r="H547" s="5">
        <v>133.80000000000001</v>
      </c>
      <c r="I547" s="2" t="s">
        <v>18</v>
      </c>
      <c r="J547" s="3">
        <v>43013</v>
      </c>
      <c r="K547" s="2">
        <v>0.17</v>
      </c>
      <c r="L547" s="2">
        <v>0.375</v>
      </c>
      <c r="M547" s="2">
        <v>160</v>
      </c>
      <c r="N547" s="2" t="s">
        <v>616</v>
      </c>
    </row>
    <row r="548" spans="1:14" x14ac:dyDescent="0.3">
      <c r="A548" s="2" t="s">
        <v>14</v>
      </c>
      <c r="B548" s="2" t="s">
        <v>15</v>
      </c>
      <c r="C548" s="2" t="s">
        <v>16</v>
      </c>
      <c r="D548" s="2" t="str">
        <f>("029556")</f>
        <v>029556</v>
      </c>
      <c r="E548" s="2" t="str">
        <f>("622454295568")</f>
        <v>622454295568</v>
      </c>
      <c r="G548" s="2" t="s">
        <v>622</v>
      </c>
      <c r="H548" s="5">
        <v>102.68</v>
      </c>
      <c r="I548" s="2" t="s">
        <v>18</v>
      </c>
      <c r="J548" s="3">
        <v>43013</v>
      </c>
      <c r="K548" s="2">
        <v>6.7000000000000004E-2</v>
      </c>
      <c r="L548" s="2">
        <v>0.14799999999999999</v>
      </c>
      <c r="M548" s="2">
        <v>250</v>
      </c>
      <c r="N548" s="2" t="s">
        <v>616</v>
      </c>
    </row>
    <row r="549" spans="1:14" x14ac:dyDescent="0.3">
      <c r="A549" s="2" t="s">
        <v>14</v>
      </c>
      <c r="B549" s="2" t="s">
        <v>15</v>
      </c>
      <c r="C549" s="2" t="s">
        <v>16</v>
      </c>
      <c r="D549" s="2" t="str">
        <f>("029557")</f>
        <v>029557</v>
      </c>
      <c r="E549" s="2" t="str">
        <f>("622454295575")</f>
        <v>622454295575</v>
      </c>
      <c r="G549" s="2" t="s">
        <v>623</v>
      </c>
      <c r="H549" s="5">
        <v>118.48</v>
      </c>
      <c r="I549" s="2" t="s">
        <v>18</v>
      </c>
      <c r="J549" s="3">
        <v>43013</v>
      </c>
      <c r="K549" s="2">
        <v>0.151</v>
      </c>
      <c r="L549" s="2">
        <v>0.33300000000000002</v>
      </c>
      <c r="M549" s="2">
        <v>70</v>
      </c>
      <c r="N549" s="2" t="s">
        <v>616</v>
      </c>
    </row>
    <row r="550" spans="1:14" x14ac:dyDescent="0.3">
      <c r="A550" s="2" t="s">
        <v>14</v>
      </c>
      <c r="B550" s="2" t="s">
        <v>15</v>
      </c>
      <c r="C550" s="2" t="s">
        <v>16</v>
      </c>
      <c r="D550" s="2" t="str">
        <f>("029558")</f>
        <v>029558</v>
      </c>
      <c r="E550" s="2" t="str">
        <f>("622454295582")</f>
        <v>622454295582</v>
      </c>
      <c r="G550" s="2" t="s">
        <v>624</v>
      </c>
      <c r="H550" s="5">
        <v>128.63</v>
      </c>
      <c r="I550" s="2" t="s">
        <v>18</v>
      </c>
      <c r="J550" s="3">
        <v>43013</v>
      </c>
      <c r="K550" s="2">
        <v>0.17</v>
      </c>
      <c r="L550" s="2">
        <v>0.375</v>
      </c>
      <c r="M550" s="2">
        <v>80</v>
      </c>
      <c r="N550" s="2" t="s">
        <v>616</v>
      </c>
    </row>
    <row r="551" spans="1:14" x14ac:dyDescent="0.3">
      <c r="A551" s="2" t="s">
        <v>14</v>
      </c>
      <c r="B551" s="2" t="s">
        <v>15</v>
      </c>
      <c r="C551" s="2" t="s">
        <v>16</v>
      </c>
      <c r="D551" s="2" t="str">
        <f>("029559")</f>
        <v>029559</v>
      </c>
      <c r="E551" s="2" t="str">
        <f>("622454295599")</f>
        <v>622454295599</v>
      </c>
      <c r="G551" s="2" t="s">
        <v>625</v>
      </c>
      <c r="H551" s="5">
        <v>149.13</v>
      </c>
      <c r="I551" s="2" t="s">
        <v>18</v>
      </c>
      <c r="J551" s="3">
        <v>43013</v>
      </c>
      <c r="K551" s="2">
        <v>0.21099999999999999</v>
      </c>
      <c r="L551" s="2">
        <v>0.46500000000000002</v>
      </c>
      <c r="M551" s="2">
        <v>60</v>
      </c>
      <c r="N551" s="2" t="s">
        <v>616</v>
      </c>
    </row>
    <row r="552" spans="1:14" x14ac:dyDescent="0.3">
      <c r="A552" s="2" t="s">
        <v>14</v>
      </c>
      <c r="B552" s="2" t="s">
        <v>15</v>
      </c>
      <c r="C552" s="2" t="s">
        <v>16</v>
      </c>
      <c r="D552" s="2" t="str">
        <f>("029560")</f>
        <v>029560</v>
      </c>
      <c r="E552" s="2" t="str">
        <f>("622454295605")</f>
        <v>622454295605</v>
      </c>
      <c r="G552" s="2" t="s">
        <v>626</v>
      </c>
      <c r="H552" s="5">
        <v>137.01</v>
      </c>
      <c r="I552" s="2" t="s">
        <v>18</v>
      </c>
      <c r="J552" s="3">
        <v>43013</v>
      </c>
      <c r="K552" s="2">
        <v>0.13</v>
      </c>
      <c r="L552" s="2">
        <v>0.28699999999999998</v>
      </c>
      <c r="M552" s="2">
        <v>140</v>
      </c>
      <c r="N552" s="2" t="s">
        <v>616</v>
      </c>
    </row>
    <row r="553" spans="1:14" x14ac:dyDescent="0.3">
      <c r="A553" s="2" t="s">
        <v>14</v>
      </c>
      <c r="B553" s="2" t="s">
        <v>15</v>
      </c>
      <c r="C553" s="2" t="s">
        <v>16</v>
      </c>
      <c r="D553" s="2" t="str">
        <f>("029561")</f>
        <v>029561</v>
      </c>
      <c r="E553" s="2" t="str">
        <f>("622454295612")</f>
        <v>622454295612</v>
      </c>
      <c r="G553" s="2" t="s">
        <v>627</v>
      </c>
      <c r="H553" s="5">
        <v>150.22</v>
      </c>
      <c r="I553" s="2" t="s">
        <v>18</v>
      </c>
      <c r="J553" s="3">
        <v>43013</v>
      </c>
      <c r="K553" s="2">
        <v>0.20499999999999999</v>
      </c>
      <c r="L553" s="2">
        <v>0.45200000000000001</v>
      </c>
      <c r="M553" s="2">
        <v>60</v>
      </c>
      <c r="N553" s="2" t="s">
        <v>616</v>
      </c>
    </row>
    <row r="554" spans="1:14" x14ac:dyDescent="0.3">
      <c r="A554" s="2" t="s">
        <v>14</v>
      </c>
      <c r="B554" s="2" t="s">
        <v>15</v>
      </c>
      <c r="C554" s="2" t="s">
        <v>16</v>
      </c>
      <c r="D554" s="2" t="str">
        <f>("029562")</f>
        <v>029562</v>
      </c>
      <c r="E554" s="2" t="str">
        <f>("622454295629")</f>
        <v>622454295629</v>
      </c>
      <c r="G554" s="2" t="s">
        <v>628</v>
      </c>
      <c r="H554" s="5">
        <v>169.54</v>
      </c>
      <c r="I554" s="2" t="s">
        <v>18</v>
      </c>
      <c r="J554" s="3">
        <v>43013</v>
      </c>
      <c r="K554" s="2">
        <v>0.255</v>
      </c>
      <c r="L554" s="2">
        <v>0.56200000000000006</v>
      </c>
      <c r="M554" s="2">
        <v>60</v>
      </c>
      <c r="N554" s="2" t="s">
        <v>616</v>
      </c>
    </row>
    <row r="555" spans="1:14" x14ac:dyDescent="0.3">
      <c r="A555" s="2" t="s">
        <v>14</v>
      </c>
      <c r="B555" s="2" t="s">
        <v>15</v>
      </c>
      <c r="C555" s="2" t="s">
        <v>16</v>
      </c>
      <c r="D555" s="2" t="str">
        <f>("029563")</f>
        <v>029563</v>
      </c>
      <c r="E555" s="2" t="str">
        <f>("622454295636")</f>
        <v>622454295636</v>
      </c>
      <c r="G555" s="2" t="s">
        <v>629</v>
      </c>
      <c r="H555" s="5">
        <v>151.1</v>
      </c>
      <c r="I555" s="2" t="s">
        <v>18</v>
      </c>
      <c r="J555" s="3">
        <v>43013</v>
      </c>
      <c r="K555" s="2">
        <v>0.19500000000000001</v>
      </c>
      <c r="L555" s="2">
        <v>0.43</v>
      </c>
      <c r="M555" s="2">
        <v>40</v>
      </c>
      <c r="N555" s="2" t="s">
        <v>616</v>
      </c>
    </row>
    <row r="556" spans="1:14" x14ac:dyDescent="0.3">
      <c r="A556" s="2" t="s">
        <v>14</v>
      </c>
      <c r="B556" s="2" t="s">
        <v>15</v>
      </c>
      <c r="C556" s="2" t="s">
        <v>16</v>
      </c>
      <c r="D556" s="2" t="str">
        <f>("029564")</f>
        <v>029564</v>
      </c>
      <c r="E556" s="2" t="str">
        <f>("622454295643")</f>
        <v>622454295643</v>
      </c>
      <c r="G556" s="2" t="s">
        <v>630</v>
      </c>
      <c r="H556" s="5">
        <v>187.77</v>
      </c>
      <c r="I556" s="2" t="s">
        <v>18</v>
      </c>
      <c r="J556" s="3">
        <v>43013</v>
      </c>
      <c r="K556" s="2">
        <v>0.215</v>
      </c>
      <c r="L556" s="2">
        <v>0.47399999999999998</v>
      </c>
      <c r="M556" s="2">
        <v>40</v>
      </c>
      <c r="N556" s="2" t="s">
        <v>616</v>
      </c>
    </row>
    <row r="557" spans="1:14" x14ac:dyDescent="0.3">
      <c r="A557" s="2" t="s">
        <v>14</v>
      </c>
      <c r="B557" s="2" t="s">
        <v>15</v>
      </c>
      <c r="C557" s="2" t="s">
        <v>16</v>
      </c>
      <c r="D557" s="2" t="str">
        <f>("029565")</f>
        <v>029565</v>
      </c>
      <c r="E557" s="2" t="str">
        <f>("622454295650")</f>
        <v>622454295650</v>
      </c>
      <c r="G557" s="2" t="s">
        <v>631</v>
      </c>
      <c r="H557" s="5">
        <v>257.06</v>
      </c>
      <c r="I557" s="2" t="s">
        <v>18</v>
      </c>
      <c r="J557" s="3">
        <v>43013</v>
      </c>
      <c r="K557" s="2">
        <v>0.216</v>
      </c>
      <c r="L557" s="2">
        <v>0.47599999999999998</v>
      </c>
      <c r="M557" s="2">
        <v>40</v>
      </c>
      <c r="N557" s="2" t="s">
        <v>616</v>
      </c>
    </row>
    <row r="558" spans="1:14" x14ac:dyDescent="0.3">
      <c r="A558" s="2" t="s">
        <v>14</v>
      </c>
      <c r="B558" s="2" t="s">
        <v>15</v>
      </c>
      <c r="C558" s="2" t="s">
        <v>16</v>
      </c>
      <c r="D558" s="2" t="str">
        <f>("029294")</f>
        <v>029294</v>
      </c>
      <c r="E558" s="2" t="str">
        <f>("622454331396")</f>
        <v>622454331396</v>
      </c>
      <c r="G558" s="2" t="s">
        <v>632</v>
      </c>
      <c r="H558" s="5">
        <v>458.28</v>
      </c>
      <c r="I558" s="2" t="s">
        <v>18</v>
      </c>
      <c r="J558" s="3">
        <v>43013</v>
      </c>
      <c r="K558" s="2">
        <v>0.2</v>
      </c>
      <c r="L558" s="2">
        <v>0.441</v>
      </c>
      <c r="M558" s="2">
        <v>60</v>
      </c>
      <c r="N558" s="2" t="s">
        <v>616</v>
      </c>
    </row>
    <row r="559" spans="1:14" x14ac:dyDescent="0.3">
      <c r="A559" s="2" t="s">
        <v>14</v>
      </c>
      <c r="B559" s="2" t="s">
        <v>15</v>
      </c>
      <c r="C559" s="2" t="s">
        <v>16</v>
      </c>
      <c r="D559" s="2" t="str">
        <f>("029566")</f>
        <v>029566</v>
      </c>
      <c r="E559" s="2" t="str">
        <f>("622454295667")</f>
        <v>622454295667</v>
      </c>
      <c r="G559" s="2" t="s">
        <v>633</v>
      </c>
      <c r="H559" s="5">
        <v>111.16</v>
      </c>
      <c r="I559" s="2" t="s">
        <v>18</v>
      </c>
      <c r="J559" s="3">
        <v>43013</v>
      </c>
      <c r="K559" s="2">
        <v>9.0999999999999998E-2</v>
      </c>
      <c r="L559" s="2">
        <v>0.20100000000000001</v>
      </c>
      <c r="M559" s="2">
        <v>130</v>
      </c>
      <c r="N559" s="2" t="s">
        <v>616</v>
      </c>
    </row>
    <row r="560" spans="1:14" x14ac:dyDescent="0.3">
      <c r="A560" s="2" t="s">
        <v>14</v>
      </c>
      <c r="B560" s="2" t="s">
        <v>15</v>
      </c>
      <c r="C560" s="2" t="s">
        <v>16</v>
      </c>
      <c r="D560" s="2" t="str">
        <f>("029567")</f>
        <v>029567</v>
      </c>
      <c r="E560" s="2" t="str">
        <f>("622454295674")</f>
        <v>622454295674</v>
      </c>
      <c r="G560" s="2" t="s">
        <v>634</v>
      </c>
      <c r="H560" s="5">
        <v>121.44</v>
      </c>
      <c r="I560" s="2" t="s">
        <v>18</v>
      </c>
      <c r="J560" s="3">
        <v>43013</v>
      </c>
      <c r="K560" s="2">
        <v>9.5000000000000001E-2</v>
      </c>
      <c r="L560" s="2">
        <v>0.20899999999999999</v>
      </c>
      <c r="M560" s="2">
        <v>120</v>
      </c>
      <c r="N560" s="2" t="s">
        <v>616</v>
      </c>
    </row>
    <row r="561" spans="1:14" x14ac:dyDescent="0.3">
      <c r="A561" s="2" t="s">
        <v>14</v>
      </c>
      <c r="B561" s="2" t="s">
        <v>15</v>
      </c>
      <c r="C561" s="2" t="s">
        <v>16</v>
      </c>
      <c r="D561" s="2" t="str">
        <f>("029568")</f>
        <v>029568</v>
      </c>
      <c r="E561" s="2" t="str">
        <f>("622454295681")</f>
        <v>622454295681</v>
      </c>
      <c r="G561" s="2" t="s">
        <v>635</v>
      </c>
      <c r="H561" s="5">
        <v>123.73</v>
      </c>
      <c r="I561" s="2" t="s">
        <v>18</v>
      </c>
      <c r="J561" s="3">
        <v>43013</v>
      </c>
      <c r="K561" s="2">
        <v>0.111</v>
      </c>
      <c r="L561" s="2">
        <v>0.245</v>
      </c>
      <c r="M561" s="2">
        <v>100</v>
      </c>
      <c r="N561" s="2" t="s">
        <v>616</v>
      </c>
    </row>
    <row r="562" spans="1:14" x14ac:dyDescent="0.3">
      <c r="A562" s="2" t="s">
        <v>14</v>
      </c>
      <c r="B562" s="2" t="s">
        <v>15</v>
      </c>
      <c r="C562" s="2" t="s">
        <v>16</v>
      </c>
      <c r="D562" s="2" t="str">
        <f>("029569")</f>
        <v>029569</v>
      </c>
      <c r="E562" s="2" t="str">
        <f>("622454295698")</f>
        <v>622454295698</v>
      </c>
      <c r="G562" s="2" t="s">
        <v>636</v>
      </c>
      <c r="H562" s="5">
        <v>126.3</v>
      </c>
      <c r="I562" s="2" t="s">
        <v>18</v>
      </c>
      <c r="J562" s="3">
        <v>43013</v>
      </c>
      <c r="K562" s="2">
        <v>7.4999999999999997E-2</v>
      </c>
      <c r="L562" s="2">
        <v>0.16500000000000001</v>
      </c>
      <c r="M562" s="2">
        <v>250</v>
      </c>
      <c r="N562" s="2" t="s">
        <v>616</v>
      </c>
    </row>
    <row r="563" spans="1:14" x14ac:dyDescent="0.3">
      <c r="A563" s="2" t="s">
        <v>14</v>
      </c>
      <c r="B563" s="2" t="s">
        <v>15</v>
      </c>
      <c r="C563" s="2" t="s">
        <v>16</v>
      </c>
      <c r="D563" s="2" t="str">
        <f>("029570")</f>
        <v>029570</v>
      </c>
      <c r="E563" s="2" t="str">
        <f>("622454295704")</f>
        <v>622454295704</v>
      </c>
      <c r="G563" s="2" t="s">
        <v>637</v>
      </c>
      <c r="H563" s="5">
        <v>133.38</v>
      </c>
      <c r="I563" s="2" t="s">
        <v>18</v>
      </c>
      <c r="J563" s="3">
        <v>43013</v>
      </c>
      <c r="K563" s="2">
        <v>0.108</v>
      </c>
      <c r="L563" s="2">
        <v>0.23799999999999999</v>
      </c>
      <c r="M563" s="2">
        <v>100</v>
      </c>
      <c r="N563" s="2" t="s">
        <v>616</v>
      </c>
    </row>
    <row r="564" spans="1:14" x14ac:dyDescent="0.3">
      <c r="A564" s="2" t="s">
        <v>14</v>
      </c>
      <c r="B564" s="2" t="s">
        <v>15</v>
      </c>
      <c r="C564" s="2" t="s">
        <v>16</v>
      </c>
      <c r="D564" s="2" t="str">
        <f>("029571")</f>
        <v>029571</v>
      </c>
      <c r="E564" s="2" t="str">
        <f>("622454295711")</f>
        <v>622454295711</v>
      </c>
      <c r="G564" s="2" t="s">
        <v>638</v>
      </c>
      <c r="H564" s="5">
        <v>143.47</v>
      </c>
      <c r="I564" s="2" t="s">
        <v>18</v>
      </c>
      <c r="J564" s="3">
        <v>43013</v>
      </c>
      <c r="K564" s="2">
        <v>0.16200000000000001</v>
      </c>
      <c r="L564" s="2">
        <v>0.35699999999999998</v>
      </c>
      <c r="M564" s="2">
        <v>80</v>
      </c>
      <c r="N564" s="2" t="s">
        <v>616</v>
      </c>
    </row>
    <row r="565" spans="1:14" x14ac:dyDescent="0.3">
      <c r="A565" s="2" t="s">
        <v>14</v>
      </c>
      <c r="B565" s="2" t="s">
        <v>15</v>
      </c>
      <c r="C565" s="2" t="s">
        <v>16</v>
      </c>
      <c r="D565" s="2" t="str">
        <f>("029572")</f>
        <v>029572</v>
      </c>
      <c r="E565" s="2" t="str">
        <f>("622454295728")</f>
        <v>622454295728</v>
      </c>
      <c r="G565" s="2" t="s">
        <v>639</v>
      </c>
      <c r="H565" s="5">
        <v>112.11</v>
      </c>
      <c r="I565" s="2" t="s">
        <v>18</v>
      </c>
      <c r="J565" s="3">
        <v>43013</v>
      </c>
      <c r="K565" s="2">
        <v>0.13</v>
      </c>
      <c r="L565" s="2">
        <v>0.28699999999999998</v>
      </c>
      <c r="M565" s="2">
        <v>250</v>
      </c>
      <c r="N565" s="2" t="s">
        <v>616</v>
      </c>
    </row>
    <row r="566" spans="1:14" x14ac:dyDescent="0.3">
      <c r="A566" s="2" t="s">
        <v>14</v>
      </c>
      <c r="B566" s="2" t="s">
        <v>15</v>
      </c>
      <c r="C566" s="2" t="s">
        <v>16</v>
      </c>
      <c r="D566" s="2" t="str">
        <f>("029573")</f>
        <v>029573</v>
      </c>
      <c r="E566" s="2" t="str">
        <f>("622454295735")</f>
        <v>622454295735</v>
      </c>
      <c r="G566" s="2" t="s">
        <v>640</v>
      </c>
      <c r="H566" s="5">
        <v>135.16</v>
      </c>
      <c r="I566" s="2" t="s">
        <v>18</v>
      </c>
      <c r="J566" s="3">
        <v>43013</v>
      </c>
      <c r="K566" s="2">
        <v>0.161</v>
      </c>
      <c r="L566" s="2">
        <v>0.35499999999999998</v>
      </c>
      <c r="M566" s="2">
        <v>75</v>
      </c>
      <c r="N566" s="2" t="s">
        <v>616</v>
      </c>
    </row>
    <row r="567" spans="1:14" x14ac:dyDescent="0.3">
      <c r="A567" s="2" t="s">
        <v>14</v>
      </c>
      <c r="B567" s="2" t="s">
        <v>15</v>
      </c>
      <c r="C567" s="2" t="s">
        <v>16</v>
      </c>
      <c r="D567" s="2" t="str">
        <f>("029574")</f>
        <v>029574</v>
      </c>
      <c r="E567" s="2" t="str">
        <f>("622454295742")</f>
        <v>622454295742</v>
      </c>
      <c r="G567" s="2" t="s">
        <v>641</v>
      </c>
      <c r="H567" s="5">
        <v>146.55000000000001</v>
      </c>
      <c r="I567" s="2" t="s">
        <v>18</v>
      </c>
      <c r="J567" s="3">
        <v>43013</v>
      </c>
      <c r="K567" s="2">
        <v>0.17799999999999999</v>
      </c>
      <c r="L567" s="2">
        <v>0.39200000000000002</v>
      </c>
      <c r="M567" s="2">
        <v>70</v>
      </c>
      <c r="N567" s="2" t="s">
        <v>616</v>
      </c>
    </row>
    <row r="568" spans="1:14" x14ac:dyDescent="0.3">
      <c r="A568" s="2" t="s">
        <v>14</v>
      </c>
      <c r="B568" s="2" t="s">
        <v>15</v>
      </c>
      <c r="C568" s="2" t="s">
        <v>16</v>
      </c>
      <c r="D568" s="2" t="str">
        <f>("029575")</f>
        <v>029575</v>
      </c>
      <c r="E568" s="2" t="str">
        <f>("622454295759")</f>
        <v>622454295759</v>
      </c>
      <c r="G568" s="2" t="s">
        <v>642</v>
      </c>
      <c r="H568" s="5">
        <v>174.63</v>
      </c>
      <c r="I568" s="2" t="s">
        <v>18</v>
      </c>
      <c r="J568" s="3">
        <v>43013</v>
      </c>
      <c r="K568" s="2">
        <v>0.188</v>
      </c>
      <c r="L568" s="2">
        <v>0.41399999999999998</v>
      </c>
      <c r="M568" s="2">
        <v>60</v>
      </c>
      <c r="N568" s="2" t="s">
        <v>616</v>
      </c>
    </row>
    <row r="569" spans="1:14" x14ac:dyDescent="0.3">
      <c r="A569" s="2" t="s">
        <v>14</v>
      </c>
      <c r="B569" s="2" t="s">
        <v>15</v>
      </c>
      <c r="C569" s="2" t="s">
        <v>16</v>
      </c>
      <c r="D569" s="2" t="str">
        <f>("029576")</f>
        <v>029576</v>
      </c>
      <c r="E569" s="2" t="str">
        <f>("622454295766")</f>
        <v>622454295766</v>
      </c>
      <c r="G569" s="2" t="s">
        <v>643</v>
      </c>
      <c r="H569" s="5">
        <v>149.88</v>
      </c>
      <c r="I569" s="2" t="s">
        <v>18</v>
      </c>
      <c r="J569" s="3">
        <v>43013</v>
      </c>
      <c r="K569" s="2">
        <v>0.13600000000000001</v>
      </c>
      <c r="L569" s="2">
        <v>0.3</v>
      </c>
      <c r="M569" s="2">
        <v>140</v>
      </c>
      <c r="N569" s="2" t="s">
        <v>616</v>
      </c>
    </row>
    <row r="570" spans="1:14" x14ac:dyDescent="0.3">
      <c r="A570" s="2" t="s">
        <v>14</v>
      </c>
      <c r="B570" s="2" t="s">
        <v>15</v>
      </c>
      <c r="C570" s="2" t="s">
        <v>16</v>
      </c>
      <c r="D570" s="2" t="str">
        <f>("029577")</f>
        <v>029577</v>
      </c>
      <c r="E570" s="2" t="str">
        <f>("622454295773")</f>
        <v>622454295773</v>
      </c>
      <c r="G570" s="2" t="s">
        <v>644</v>
      </c>
      <c r="H570" s="5">
        <v>172.5</v>
      </c>
      <c r="I570" s="2" t="s">
        <v>18</v>
      </c>
      <c r="J570" s="3">
        <v>43013</v>
      </c>
      <c r="K570" s="2">
        <v>0.183</v>
      </c>
      <c r="L570" s="2">
        <v>0.40300000000000002</v>
      </c>
      <c r="M570" s="2">
        <v>60</v>
      </c>
      <c r="N570" s="2" t="s">
        <v>616</v>
      </c>
    </row>
    <row r="571" spans="1:14" x14ac:dyDescent="0.3">
      <c r="A571" s="2" t="s">
        <v>14</v>
      </c>
      <c r="B571" s="2" t="s">
        <v>15</v>
      </c>
      <c r="C571" s="2" t="s">
        <v>16</v>
      </c>
      <c r="D571" s="2" t="str">
        <f>("029578")</f>
        <v>029578</v>
      </c>
      <c r="E571" s="2" t="str">
        <f>("622454295780")</f>
        <v>622454295780</v>
      </c>
      <c r="G571" s="2" t="s">
        <v>645</v>
      </c>
      <c r="H571" s="5">
        <v>186.86</v>
      </c>
      <c r="I571" s="2" t="s">
        <v>18</v>
      </c>
      <c r="J571" s="3">
        <v>43013</v>
      </c>
      <c r="K571" s="2">
        <v>0.22500000000000001</v>
      </c>
      <c r="L571" s="2">
        <v>0.496</v>
      </c>
      <c r="M571" s="2">
        <v>50</v>
      </c>
      <c r="N571" s="2" t="s">
        <v>616</v>
      </c>
    </row>
    <row r="572" spans="1:14" x14ac:dyDescent="0.3">
      <c r="A572" s="2" t="s">
        <v>14</v>
      </c>
      <c r="B572" s="2" t="s">
        <v>15</v>
      </c>
      <c r="C572" s="2" t="s">
        <v>16</v>
      </c>
      <c r="D572" s="2" t="str">
        <f>("029579")</f>
        <v>029579</v>
      </c>
      <c r="E572" s="2" t="str">
        <f>("622454295797")</f>
        <v>622454295797</v>
      </c>
      <c r="G572" s="2" t="s">
        <v>646</v>
      </c>
      <c r="H572" s="5">
        <v>166.24</v>
      </c>
      <c r="I572" s="2" t="s">
        <v>18</v>
      </c>
      <c r="J572" s="3">
        <v>43013</v>
      </c>
      <c r="K572" s="2">
        <v>0.17100000000000001</v>
      </c>
      <c r="L572" s="2">
        <v>0.377</v>
      </c>
      <c r="M572" s="2">
        <v>40</v>
      </c>
      <c r="N572" s="2" t="s">
        <v>616</v>
      </c>
    </row>
    <row r="573" spans="1:14" x14ac:dyDescent="0.3">
      <c r="A573" s="2" t="s">
        <v>14</v>
      </c>
      <c r="B573" s="2" t="s">
        <v>15</v>
      </c>
      <c r="C573" s="2" t="s">
        <v>16</v>
      </c>
      <c r="D573" s="2" t="str">
        <f>("029580")</f>
        <v>029580</v>
      </c>
      <c r="E573" s="2" t="str">
        <f>("622454295803")</f>
        <v>622454295803</v>
      </c>
      <c r="G573" s="2" t="s">
        <v>647</v>
      </c>
      <c r="H573" s="5">
        <v>224.26</v>
      </c>
      <c r="I573" s="2" t="s">
        <v>18</v>
      </c>
      <c r="J573" s="3">
        <v>43013</v>
      </c>
      <c r="K573" s="2">
        <v>0.22900000000000001</v>
      </c>
      <c r="L573" s="2">
        <v>0.505</v>
      </c>
      <c r="M573" s="2">
        <v>40</v>
      </c>
      <c r="N573" s="2" t="s">
        <v>616</v>
      </c>
    </row>
    <row r="574" spans="1:14" x14ac:dyDescent="0.3">
      <c r="A574" s="2" t="s">
        <v>14</v>
      </c>
      <c r="B574" s="2" t="s">
        <v>15</v>
      </c>
      <c r="C574" s="2" t="s">
        <v>16</v>
      </c>
      <c r="D574" s="2" t="str">
        <f>("029581")</f>
        <v>029581</v>
      </c>
      <c r="E574" s="2" t="str">
        <f>("622454295810")</f>
        <v>622454295810</v>
      </c>
      <c r="G574" s="2" t="s">
        <v>648</v>
      </c>
      <c r="H574" s="5">
        <v>262.92</v>
      </c>
      <c r="I574" s="2" t="s">
        <v>18</v>
      </c>
      <c r="J574" s="3">
        <v>43013</v>
      </c>
      <c r="K574" s="2">
        <v>0.22700000000000001</v>
      </c>
      <c r="L574" s="2">
        <v>0.5</v>
      </c>
      <c r="M574" s="2">
        <v>40</v>
      </c>
      <c r="N574" s="2" t="s">
        <v>616</v>
      </c>
    </row>
    <row r="575" spans="1:14" x14ac:dyDescent="0.3">
      <c r="A575" s="2" t="s">
        <v>14</v>
      </c>
      <c r="B575" s="2" t="s">
        <v>15</v>
      </c>
      <c r="C575" s="2" t="s">
        <v>16</v>
      </c>
      <c r="D575" s="2" t="str">
        <f>("029293")</f>
        <v>029293</v>
      </c>
      <c r="E575" s="2" t="str">
        <f>("622454331389")</f>
        <v>622454331389</v>
      </c>
      <c r="G575" s="2" t="s">
        <v>649</v>
      </c>
      <c r="H575" s="5">
        <v>482.03</v>
      </c>
      <c r="I575" s="2" t="s">
        <v>18</v>
      </c>
      <c r="J575" s="3">
        <v>43013</v>
      </c>
      <c r="K575" s="2">
        <v>0.2</v>
      </c>
      <c r="L575" s="2">
        <v>0.441</v>
      </c>
      <c r="M575" s="2">
        <v>50</v>
      </c>
      <c r="N575" s="2" t="s">
        <v>616</v>
      </c>
    </row>
    <row r="576" spans="1:14" x14ac:dyDescent="0.3">
      <c r="A576" s="2" t="s">
        <v>14</v>
      </c>
      <c r="B576" s="2" t="s">
        <v>15</v>
      </c>
      <c r="C576" s="2" t="s">
        <v>16</v>
      </c>
      <c r="D576" s="2" t="str">
        <f>("078876")</f>
        <v>078876</v>
      </c>
      <c r="E576" s="2" t="str">
        <f>("622454788763")</f>
        <v>622454788763</v>
      </c>
      <c r="G576" s="2" t="s">
        <v>650</v>
      </c>
      <c r="H576" s="5">
        <v>5455.58</v>
      </c>
      <c r="I576" s="2" t="s">
        <v>18</v>
      </c>
      <c r="J576" s="3">
        <v>43013</v>
      </c>
      <c r="K576" s="2">
        <v>0.64300000000000002</v>
      </c>
      <c r="L576" s="2">
        <v>1.4179999999999999</v>
      </c>
      <c r="M576" s="2">
        <v>5</v>
      </c>
      <c r="N576" s="2" t="s">
        <v>651</v>
      </c>
    </row>
    <row r="577" spans="1:14" x14ac:dyDescent="0.3">
      <c r="A577" s="2" t="s">
        <v>14</v>
      </c>
      <c r="B577" s="2" t="s">
        <v>15</v>
      </c>
      <c r="C577" s="2" t="s">
        <v>16</v>
      </c>
      <c r="D577" s="2" t="str">
        <f>("078875")</f>
        <v>078875</v>
      </c>
      <c r="E577" s="2" t="str">
        <f>("622454788756")</f>
        <v>622454788756</v>
      </c>
      <c r="G577" s="2" t="s">
        <v>652</v>
      </c>
      <c r="H577" s="5">
        <v>2706.83</v>
      </c>
      <c r="I577" s="2" t="s">
        <v>18</v>
      </c>
      <c r="J577" s="3">
        <v>43013</v>
      </c>
      <c r="K577" s="2">
        <v>0.126</v>
      </c>
      <c r="L577" s="2">
        <v>0.27800000000000002</v>
      </c>
      <c r="M577" s="2">
        <v>15</v>
      </c>
      <c r="N577" s="2" t="s">
        <v>653</v>
      </c>
    </row>
    <row r="578" spans="1:14" x14ac:dyDescent="0.3">
      <c r="A578" s="2" t="s">
        <v>14</v>
      </c>
      <c r="B578" s="2" t="s">
        <v>15</v>
      </c>
      <c r="C578" s="2" t="s">
        <v>16</v>
      </c>
      <c r="D578" s="2" t="str">
        <f>("078446")</f>
        <v>078446</v>
      </c>
      <c r="E578" s="2" t="str">
        <f>("622454784468")</f>
        <v>622454784468</v>
      </c>
      <c r="G578" s="2" t="s">
        <v>654</v>
      </c>
      <c r="H578" s="5">
        <v>2136.36</v>
      </c>
      <c r="I578" s="2" t="s">
        <v>18</v>
      </c>
      <c r="J578" s="3">
        <v>43013</v>
      </c>
      <c r="K578" s="2">
        <v>0.20100000000000001</v>
      </c>
      <c r="L578" s="2">
        <v>0.443</v>
      </c>
      <c r="M578" s="2">
        <v>10</v>
      </c>
      <c r="N578" s="2" t="s">
        <v>655</v>
      </c>
    </row>
    <row r="579" spans="1:14" x14ac:dyDescent="0.3">
      <c r="A579" s="2" t="s">
        <v>14</v>
      </c>
      <c r="B579" s="2" t="s">
        <v>15</v>
      </c>
      <c r="C579" s="2" t="s">
        <v>16</v>
      </c>
      <c r="D579" s="2" t="str">
        <f>("178269")</f>
        <v>178269</v>
      </c>
      <c r="E579" s="2" t="str">
        <f>("622454382183")</f>
        <v>622454382183</v>
      </c>
      <c r="G579" s="2" t="s">
        <v>656</v>
      </c>
      <c r="H579" s="5">
        <v>6605.58</v>
      </c>
      <c r="I579" s="2" t="s">
        <v>18</v>
      </c>
      <c r="J579" s="3">
        <v>43013</v>
      </c>
      <c r="K579" s="2">
        <v>0.751</v>
      </c>
      <c r="L579" s="2">
        <v>1.6559999999999999</v>
      </c>
      <c r="M579" s="2">
        <v>5</v>
      </c>
      <c r="N579" s="2" t="s">
        <v>657</v>
      </c>
    </row>
    <row r="580" spans="1:14" x14ac:dyDescent="0.3">
      <c r="A580" s="2" t="s">
        <v>14</v>
      </c>
      <c r="B580" s="2" t="s">
        <v>15</v>
      </c>
      <c r="C580" s="2" t="s">
        <v>16</v>
      </c>
      <c r="D580" s="2" t="str">
        <f>("078908")</f>
        <v>078908</v>
      </c>
      <c r="E580" s="2" t="str">
        <f>("622454789081")</f>
        <v>622454789081</v>
      </c>
      <c r="G580" s="2" t="s">
        <v>658</v>
      </c>
      <c r="H580" s="5">
        <v>5455.58</v>
      </c>
      <c r="I580" s="2" t="s">
        <v>18</v>
      </c>
      <c r="J580" s="3">
        <v>43013</v>
      </c>
      <c r="K580" s="2">
        <v>0.82</v>
      </c>
      <c r="L580" s="2">
        <v>1.8080000000000001</v>
      </c>
      <c r="M580" s="2">
        <v>5</v>
      </c>
      <c r="N580" s="2" t="s">
        <v>657</v>
      </c>
    </row>
    <row r="581" spans="1:14" x14ac:dyDescent="0.3">
      <c r="A581" s="2" t="s">
        <v>14</v>
      </c>
      <c r="B581" s="2" t="s">
        <v>15</v>
      </c>
      <c r="C581" s="2" t="s">
        <v>16</v>
      </c>
      <c r="D581" s="2" t="str">
        <f>("078993")</f>
        <v>078993</v>
      </c>
      <c r="E581" s="2" t="str">
        <f>("622454013780")</f>
        <v>622454013780</v>
      </c>
      <c r="G581" s="2" t="s">
        <v>659</v>
      </c>
      <c r="H581" s="5">
        <v>7944.45</v>
      </c>
      <c r="I581" s="2" t="s">
        <v>18</v>
      </c>
      <c r="J581" s="3">
        <v>43013</v>
      </c>
      <c r="K581" s="2">
        <v>4.2000000000000003E-2</v>
      </c>
      <c r="L581" s="2">
        <v>9.2999999999999999E-2</v>
      </c>
      <c r="M581" s="2">
        <v>8</v>
      </c>
      <c r="N581" s="2" t="s">
        <v>660</v>
      </c>
    </row>
    <row r="582" spans="1:14" x14ac:dyDescent="0.3">
      <c r="A582" s="2" t="s">
        <v>14</v>
      </c>
      <c r="B582" s="2" t="s">
        <v>15</v>
      </c>
      <c r="C582" s="2" t="s">
        <v>16</v>
      </c>
      <c r="D582" s="2" t="str">
        <f>("078928")</f>
        <v>078928</v>
      </c>
      <c r="E582" s="2" t="str">
        <f>("622454013803")</f>
        <v>622454013803</v>
      </c>
      <c r="G582" s="2" t="s">
        <v>661</v>
      </c>
      <c r="H582" s="5">
        <v>709.33</v>
      </c>
      <c r="I582" s="2" t="s">
        <v>18</v>
      </c>
      <c r="J582" s="3">
        <v>43013</v>
      </c>
      <c r="K582" s="2">
        <v>4.2000000000000003E-2</v>
      </c>
      <c r="L582" s="2">
        <v>9.2999999999999999E-2</v>
      </c>
      <c r="M582" s="2">
        <v>50</v>
      </c>
      <c r="N582" s="2" t="s">
        <v>662</v>
      </c>
    </row>
    <row r="583" spans="1:14" x14ac:dyDescent="0.3">
      <c r="A583" s="2" t="s">
        <v>14</v>
      </c>
      <c r="B583" s="2" t="s">
        <v>15</v>
      </c>
      <c r="C583" s="2" t="s">
        <v>16</v>
      </c>
      <c r="D583" s="2" t="str">
        <f>("077982")</f>
        <v>077982</v>
      </c>
      <c r="E583" s="2" t="str">
        <f>("622454426900")</f>
        <v>622454426900</v>
      </c>
      <c r="G583" s="2" t="s">
        <v>663</v>
      </c>
      <c r="H583" s="5">
        <v>7500</v>
      </c>
      <c r="I583" s="2" t="s">
        <v>18</v>
      </c>
      <c r="J583" s="3">
        <v>43013</v>
      </c>
      <c r="K583" s="2">
        <v>0.77600000000000002</v>
      </c>
      <c r="L583" s="2">
        <v>1.7110000000000001</v>
      </c>
      <c r="M583" s="2">
        <v>2</v>
      </c>
      <c r="N583" s="2" t="s">
        <v>664</v>
      </c>
    </row>
    <row r="584" spans="1:14" x14ac:dyDescent="0.3">
      <c r="A584" s="2" t="s">
        <v>14</v>
      </c>
      <c r="B584" s="2" t="s">
        <v>15</v>
      </c>
      <c r="C584" s="2" t="s">
        <v>16</v>
      </c>
      <c r="D584" s="2" t="str">
        <f>("077981")</f>
        <v>077981</v>
      </c>
      <c r="E584" s="2" t="str">
        <f>("622454426894")</f>
        <v>622454426894</v>
      </c>
      <c r="G584" s="2" t="s">
        <v>665</v>
      </c>
      <c r="H584" s="5">
        <v>7000</v>
      </c>
      <c r="I584" s="2" t="s">
        <v>18</v>
      </c>
      <c r="J584" s="3">
        <v>43013</v>
      </c>
      <c r="K584" s="2">
        <v>0.7</v>
      </c>
      <c r="L584" s="2">
        <v>1.5429999999999999</v>
      </c>
      <c r="M584" s="2">
        <v>2</v>
      </c>
      <c r="N584" s="2" t="s">
        <v>664</v>
      </c>
    </row>
    <row r="585" spans="1:14" x14ac:dyDescent="0.3">
      <c r="A585" s="2" t="s">
        <v>14</v>
      </c>
      <c r="B585" s="2" t="s">
        <v>15</v>
      </c>
      <c r="C585" s="2" t="s">
        <v>16</v>
      </c>
      <c r="D585" s="2" t="str">
        <f>("077980")</f>
        <v>077980</v>
      </c>
      <c r="E585" s="2" t="str">
        <f>("622454426887")</f>
        <v>622454426887</v>
      </c>
      <c r="G585" s="2" t="s">
        <v>666</v>
      </c>
      <c r="H585" s="5">
        <v>8875</v>
      </c>
      <c r="I585" s="2" t="s">
        <v>18</v>
      </c>
      <c r="J585" s="3">
        <v>43013</v>
      </c>
      <c r="K585" s="2">
        <v>0.66800000000000004</v>
      </c>
      <c r="L585" s="2">
        <v>1.4730000000000001</v>
      </c>
      <c r="M585" s="2">
        <v>2</v>
      </c>
      <c r="N585" s="2" t="s">
        <v>664</v>
      </c>
    </row>
    <row r="586" spans="1:14" x14ac:dyDescent="0.3">
      <c r="A586" s="2" t="s">
        <v>14</v>
      </c>
      <c r="B586" s="2" t="s">
        <v>15</v>
      </c>
      <c r="C586" s="2" t="s">
        <v>16</v>
      </c>
      <c r="D586" s="2" t="str">
        <f>("077960")</f>
        <v>077960</v>
      </c>
      <c r="E586" s="2" t="str">
        <f>("622454426870")</f>
        <v>622454426870</v>
      </c>
      <c r="G586" s="2" t="s">
        <v>667</v>
      </c>
      <c r="H586" s="5">
        <v>11375</v>
      </c>
      <c r="I586" s="2" t="s">
        <v>18</v>
      </c>
      <c r="J586" s="3">
        <v>43013</v>
      </c>
      <c r="K586" s="2">
        <v>1</v>
      </c>
      <c r="L586" s="2">
        <v>2.2050000000000001</v>
      </c>
      <c r="M586" s="2">
        <v>2</v>
      </c>
      <c r="N586" s="2" t="s">
        <v>664</v>
      </c>
    </row>
    <row r="587" spans="1:14" x14ac:dyDescent="0.3">
      <c r="A587" s="2" t="s">
        <v>14</v>
      </c>
      <c r="B587" s="2" t="s">
        <v>15</v>
      </c>
      <c r="C587" s="2" t="s">
        <v>16</v>
      </c>
      <c r="D587" s="2" t="str">
        <f>("077958")</f>
        <v>077958</v>
      </c>
      <c r="E587" s="2" t="str">
        <f>("622454426863")</f>
        <v>622454426863</v>
      </c>
      <c r="G587" s="2" t="s">
        <v>668</v>
      </c>
      <c r="H587" s="5">
        <v>12750</v>
      </c>
      <c r="I587" s="2" t="s">
        <v>18</v>
      </c>
      <c r="J587" s="3">
        <v>43013</v>
      </c>
      <c r="K587" s="2">
        <v>1.343</v>
      </c>
      <c r="L587" s="2">
        <v>2.9609999999999999</v>
      </c>
      <c r="M587" s="2">
        <v>2</v>
      </c>
      <c r="N587" s="2" t="s">
        <v>664</v>
      </c>
    </row>
    <row r="588" spans="1:14" x14ac:dyDescent="0.3">
      <c r="A588" s="2" t="s">
        <v>14</v>
      </c>
      <c r="B588" s="2" t="s">
        <v>15</v>
      </c>
      <c r="C588" s="2" t="s">
        <v>16</v>
      </c>
      <c r="D588" s="2" t="str">
        <f>("077957")</f>
        <v>077957</v>
      </c>
      <c r="E588" s="2" t="str">
        <f>("622454426856")</f>
        <v>622454426856</v>
      </c>
      <c r="G588" s="2" t="s">
        <v>669</v>
      </c>
      <c r="H588" s="5">
        <v>16500</v>
      </c>
      <c r="I588" s="2" t="s">
        <v>18</v>
      </c>
      <c r="J588" s="3">
        <v>43013</v>
      </c>
      <c r="K588" s="2">
        <v>1.9</v>
      </c>
      <c r="L588" s="2">
        <v>4.1890000000000001</v>
      </c>
      <c r="M588" s="2">
        <v>2</v>
      </c>
      <c r="N588" s="2" t="s">
        <v>664</v>
      </c>
    </row>
    <row r="589" spans="1:14" x14ac:dyDescent="0.3">
      <c r="A589" s="2" t="s">
        <v>14</v>
      </c>
      <c r="B589" s="2" t="s">
        <v>15</v>
      </c>
      <c r="C589" s="2" t="s">
        <v>16</v>
      </c>
      <c r="D589" s="2" t="str">
        <f>("077956")</f>
        <v>077956</v>
      </c>
      <c r="E589" s="2" t="str">
        <f>("622454426849")</f>
        <v>622454426849</v>
      </c>
      <c r="G589" s="2" t="s">
        <v>670</v>
      </c>
      <c r="H589" s="5">
        <v>21875</v>
      </c>
      <c r="I589" s="2" t="s">
        <v>18</v>
      </c>
      <c r="J589" s="3">
        <v>43013</v>
      </c>
      <c r="K589" s="2">
        <v>2.5920000000000001</v>
      </c>
      <c r="L589" s="2">
        <v>5.7140000000000004</v>
      </c>
      <c r="M589" s="2">
        <v>2</v>
      </c>
      <c r="N589" s="2" t="s">
        <v>664</v>
      </c>
    </row>
    <row r="590" spans="1:14" x14ac:dyDescent="0.3">
      <c r="A590" s="2" t="s">
        <v>14</v>
      </c>
      <c r="B590" s="2" t="s">
        <v>15</v>
      </c>
      <c r="C590" s="2" t="s">
        <v>16</v>
      </c>
      <c r="D590" s="2" t="str">
        <f>("077955")</f>
        <v>077955</v>
      </c>
      <c r="E590" s="2" t="str">
        <f>("622454426832")</f>
        <v>622454426832</v>
      </c>
      <c r="G590" s="2" t="s">
        <v>671</v>
      </c>
      <c r="H590" s="5">
        <v>26625</v>
      </c>
      <c r="I590" s="2" t="s">
        <v>18</v>
      </c>
      <c r="J590" s="3">
        <v>43013</v>
      </c>
      <c r="K590" s="2">
        <v>3.38</v>
      </c>
      <c r="L590" s="2">
        <v>7.452</v>
      </c>
      <c r="M590" s="2">
        <v>2</v>
      </c>
      <c r="N590" s="2" t="s">
        <v>664</v>
      </c>
    </row>
    <row r="591" spans="1:14" x14ac:dyDescent="0.3">
      <c r="A591" s="2" t="s">
        <v>14</v>
      </c>
      <c r="B591" s="2" t="s">
        <v>15</v>
      </c>
      <c r="C591" s="2" t="s">
        <v>16</v>
      </c>
      <c r="D591" s="2" t="str">
        <f>("078877")</f>
        <v>078877</v>
      </c>
      <c r="E591" s="2" t="str">
        <f>("622454788770")</f>
        <v>622454788770</v>
      </c>
      <c r="G591" s="2" t="s">
        <v>672</v>
      </c>
      <c r="H591" s="5">
        <v>4776.26</v>
      </c>
      <c r="I591" s="2" t="s">
        <v>18</v>
      </c>
      <c r="J591" s="3">
        <v>43013</v>
      </c>
      <c r="K591" s="2">
        <v>0.191</v>
      </c>
      <c r="L591" s="2">
        <v>0.42099999999999999</v>
      </c>
      <c r="M591" s="2">
        <v>10</v>
      </c>
      <c r="N591" s="2" t="s">
        <v>673</v>
      </c>
    </row>
    <row r="592" spans="1:14" x14ac:dyDescent="0.3">
      <c r="A592" s="2" t="s">
        <v>14</v>
      </c>
      <c r="B592" s="2" t="s">
        <v>15</v>
      </c>
      <c r="C592" s="2" t="s">
        <v>16</v>
      </c>
      <c r="D592" s="2" t="str">
        <f>("078878")</f>
        <v>078878</v>
      </c>
      <c r="E592" s="2" t="str">
        <f>("622454788787")</f>
        <v>622454788787</v>
      </c>
      <c r="G592" s="2" t="s">
        <v>674</v>
      </c>
      <c r="H592" s="5">
        <v>4776.26</v>
      </c>
      <c r="I592" s="2" t="s">
        <v>18</v>
      </c>
      <c r="J592" s="3">
        <v>43013</v>
      </c>
      <c r="K592" s="2">
        <v>0.19700000000000001</v>
      </c>
      <c r="L592" s="2">
        <v>0.434</v>
      </c>
      <c r="M592" s="2">
        <v>10</v>
      </c>
      <c r="N592" s="2" t="s">
        <v>673</v>
      </c>
    </row>
    <row r="593" spans="1:14" x14ac:dyDescent="0.3">
      <c r="A593" s="2" t="s">
        <v>14</v>
      </c>
      <c r="B593" s="2" t="s">
        <v>15</v>
      </c>
      <c r="C593" s="2" t="s">
        <v>16</v>
      </c>
      <c r="D593" s="2" t="str">
        <f>("078618")</f>
        <v>078618</v>
      </c>
      <c r="E593" s="2" t="str">
        <f>("622454786189")</f>
        <v>622454786189</v>
      </c>
      <c r="G593" s="2" t="s">
        <v>675</v>
      </c>
      <c r="H593" s="5">
        <v>4776.26</v>
      </c>
      <c r="I593" s="2" t="s">
        <v>18</v>
      </c>
      <c r="J593" s="3">
        <v>43013</v>
      </c>
      <c r="K593" s="2">
        <v>0.21</v>
      </c>
      <c r="L593" s="2">
        <v>0.46300000000000002</v>
      </c>
      <c r="M593" s="2">
        <v>10</v>
      </c>
      <c r="N593" s="2" t="s">
        <v>673</v>
      </c>
    </row>
    <row r="594" spans="1:14" x14ac:dyDescent="0.3">
      <c r="A594" s="2" t="s">
        <v>14</v>
      </c>
      <c r="B594" s="2" t="s">
        <v>15</v>
      </c>
      <c r="C594" s="2" t="s">
        <v>16</v>
      </c>
      <c r="D594" s="2" t="str">
        <f>("078841")</f>
        <v>078841</v>
      </c>
      <c r="E594" s="2" t="str">
        <f>("622454788411")</f>
        <v>622454788411</v>
      </c>
      <c r="G594" s="2" t="s">
        <v>676</v>
      </c>
      <c r="H594" s="5">
        <v>4776.26</v>
      </c>
      <c r="I594" s="2" t="s">
        <v>18</v>
      </c>
      <c r="J594" s="3">
        <v>43013</v>
      </c>
      <c r="K594" s="2">
        <v>0.20300000000000001</v>
      </c>
      <c r="L594" s="2">
        <v>0.44800000000000001</v>
      </c>
      <c r="M594" s="2">
        <v>10</v>
      </c>
      <c r="N594" s="2" t="s">
        <v>673</v>
      </c>
    </row>
    <row r="595" spans="1:14" x14ac:dyDescent="0.3">
      <c r="A595" s="2" t="s">
        <v>14</v>
      </c>
      <c r="B595" s="2" t="s">
        <v>15</v>
      </c>
      <c r="C595" s="2" t="s">
        <v>16</v>
      </c>
      <c r="D595" s="2" t="str">
        <f>("178096")</f>
        <v>178096</v>
      </c>
      <c r="E595" s="2" t="str">
        <f>("622454172883")</f>
        <v>622454172883</v>
      </c>
      <c r="G595" s="2" t="s">
        <v>677</v>
      </c>
      <c r="H595" s="5">
        <v>24019.52</v>
      </c>
      <c r="I595" s="2" t="s">
        <v>18</v>
      </c>
      <c r="J595" s="3">
        <v>43013</v>
      </c>
      <c r="K595" s="2">
        <v>0.9</v>
      </c>
      <c r="L595" s="2">
        <v>1.984</v>
      </c>
      <c r="M595" s="2">
        <v>10</v>
      </c>
      <c r="N595" s="2" t="s">
        <v>678</v>
      </c>
    </row>
    <row r="596" spans="1:14" x14ac:dyDescent="0.3">
      <c r="A596" s="2" t="s">
        <v>14</v>
      </c>
      <c r="B596" s="2" t="s">
        <v>15</v>
      </c>
      <c r="C596" s="2" t="s">
        <v>16</v>
      </c>
      <c r="D596" s="2" t="str">
        <f>("178279")</f>
        <v>178279</v>
      </c>
      <c r="E596" s="2" t="str">
        <f>("622454428577")</f>
        <v>622454428577</v>
      </c>
      <c r="G596" s="2" t="s">
        <v>679</v>
      </c>
      <c r="H596" s="5">
        <v>11800</v>
      </c>
      <c r="I596" s="2" t="s">
        <v>18</v>
      </c>
      <c r="J596" s="3">
        <v>43013</v>
      </c>
      <c r="K596" s="2">
        <v>9.1999999999999998E-2</v>
      </c>
      <c r="L596" s="2">
        <v>0.20300000000000001</v>
      </c>
      <c r="M596" s="2">
        <v>10</v>
      </c>
      <c r="N596" s="2" t="s">
        <v>680</v>
      </c>
    </row>
    <row r="597" spans="1:14" x14ac:dyDescent="0.3">
      <c r="A597" s="2" t="s">
        <v>14</v>
      </c>
      <c r="B597" s="2" t="s">
        <v>15</v>
      </c>
      <c r="C597" s="2" t="s">
        <v>16</v>
      </c>
      <c r="D597" s="2" t="str">
        <f>("178091")</f>
        <v>178091</v>
      </c>
      <c r="E597" s="2" t="str">
        <f>("622454171770")</f>
        <v>622454171770</v>
      </c>
      <c r="G597" s="2" t="s">
        <v>681</v>
      </c>
      <c r="H597" s="5">
        <v>20105.63</v>
      </c>
      <c r="I597" s="2" t="s">
        <v>18</v>
      </c>
      <c r="J597" s="3">
        <v>43013</v>
      </c>
      <c r="K597" s="2">
        <v>0.57999999999999996</v>
      </c>
      <c r="L597" s="2">
        <v>1.2789999999999999</v>
      </c>
      <c r="M597" s="2">
        <v>10</v>
      </c>
      <c r="N597" s="2" t="s">
        <v>678</v>
      </c>
    </row>
    <row r="598" spans="1:14" x14ac:dyDescent="0.3">
      <c r="A598" s="2" t="s">
        <v>14</v>
      </c>
      <c r="B598" s="2" t="s">
        <v>15</v>
      </c>
      <c r="C598" s="2" t="s">
        <v>16</v>
      </c>
      <c r="D598" s="2" t="str">
        <f>("178280")</f>
        <v>178280</v>
      </c>
      <c r="E598" s="2" t="str">
        <f>("622454428669")</f>
        <v>622454428669</v>
      </c>
      <c r="G598" s="2" t="s">
        <v>682</v>
      </c>
      <c r="H598" s="5">
        <v>11600</v>
      </c>
      <c r="I598" s="2" t="s">
        <v>18</v>
      </c>
      <c r="J598" s="3">
        <v>43013</v>
      </c>
      <c r="K598" s="2">
        <v>7.4999999999999997E-2</v>
      </c>
      <c r="L598" s="2">
        <v>0.16500000000000001</v>
      </c>
      <c r="M598" s="2">
        <v>10</v>
      </c>
      <c r="N598" s="2" t="s">
        <v>680</v>
      </c>
    </row>
    <row r="599" spans="1:14" x14ac:dyDescent="0.3">
      <c r="A599" s="2" t="s">
        <v>14</v>
      </c>
      <c r="B599" s="2" t="s">
        <v>15</v>
      </c>
      <c r="C599" s="2" t="s">
        <v>16</v>
      </c>
      <c r="D599" s="2" t="str">
        <f>("178093")</f>
        <v>178093</v>
      </c>
      <c r="E599" s="2" t="str">
        <f>("622454172227")</f>
        <v>622454172227</v>
      </c>
      <c r="G599" s="2" t="s">
        <v>683</v>
      </c>
      <c r="H599" s="5">
        <v>19267.89</v>
      </c>
      <c r="I599" s="2" t="s">
        <v>18</v>
      </c>
      <c r="J599" s="3">
        <v>43013</v>
      </c>
      <c r="K599" s="2">
        <v>0.6</v>
      </c>
      <c r="L599" s="2">
        <v>1.323</v>
      </c>
      <c r="M599" s="2">
        <v>10</v>
      </c>
      <c r="N599" s="2" t="s">
        <v>678</v>
      </c>
    </row>
    <row r="600" spans="1:14" x14ac:dyDescent="0.3">
      <c r="A600" s="2" t="s">
        <v>14</v>
      </c>
      <c r="B600" s="2" t="s">
        <v>15</v>
      </c>
      <c r="C600" s="2" t="s">
        <v>16</v>
      </c>
      <c r="D600" s="2" t="str">
        <f>("178278")</f>
        <v>178278</v>
      </c>
      <c r="E600" s="2" t="str">
        <f>("622454428560")</f>
        <v>622454428560</v>
      </c>
      <c r="G600" s="2" t="s">
        <v>684</v>
      </c>
      <c r="H600" s="5">
        <v>13000</v>
      </c>
      <c r="I600" s="2" t="s">
        <v>18</v>
      </c>
      <c r="J600" s="3">
        <v>43013</v>
      </c>
      <c r="K600" s="2">
        <v>0.11899999999999999</v>
      </c>
      <c r="L600" s="2">
        <v>0.26200000000000001</v>
      </c>
      <c r="M600" s="2">
        <v>10</v>
      </c>
      <c r="N600" s="2" t="s">
        <v>680</v>
      </c>
    </row>
    <row r="601" spans="1:14" x14ac:dyDescent="0.3">
      <c r="A601" s="2" t="s">
        <v>14</v>
      </c>
      <c r="B601" s="2" t="s">
        <v>15</v>
      </c>
      <c r="C601" s="2" t="s">
        <v>16</v>
      </c>
      <c r="D601" s="2" t="str">
        <f>("178092")</f>
        <v>178092</v>
      </c>
      <c r="E601" s="2" t="str">
        <f>("622454172043")</f>
        <v>622454172043</v>
      </c>
      <c r="G601" s="2" t="s">
        <v>685</v>
      </c>
      <c r="H601" s="5">
        <v>22518.3</v>
      </c>
      <c r="I601" s="2" t="s">
        <v>18</v>
      </c>
      <c r="J601" s="3">
        <v>43013</v>
      </c>
      <c r="K601" s="2">
        <v>0.57999999999999996</v>
      </c>
      <c r="L601" s="2">
        <v>1.2789999999999999</v>
      </c>
      <c r="M601" s="2">
        <v>10</v>
      </c>
      <c r="N601" s="2" t="s">
        <v>678</v>
      </c>
    </row>
    <row r="602" spans="1:14" x14ac:dyDescent="0.3">
      <c r="A602" s="2" t="s">
        <v>14</v>
      </c>
      <c r="B602" s="2" t="s">
        <v>15</v>
      </c>
      <c r="C602" s="2" t="s">
        <v>16</v>
      </c>
      <c r="D602" s="2" t="str">
        <f>("178094")</f>
        <v>178094</v>
      </c>
      <c r="E602" s="2" t="str">
        <f>("622454172739")</f>
        <v>622454172739</v>
      </c>
      <c r="G602" s="2" t="s">
        <v>686</v>
      </c>
      <c r="H602" s="5">
        <v>21767.7</v>
      </c>
      <c r="I602" s="2" t="s">
        <v>18</v>
      </c>
      <c r="J602" s="3">
        <v>43013</v>
      </c>
      <c r="K602" s="2">
        <v>0.6</v>
      </c>
      <c r="L602" s="2">
        <v>1.323</v>
      </c>
      <c r="M602" s="2">
        <v>10</v>
      </c>
      <c r="N602" s="2" t="s">
        <v>678</v>
      </c>
    </row>
    <row r="603" spans="1:14" x14ac:dyDescent="0.3">
      <c r="A603" s="2" t="s">
        <v>14</v>
      </c>
      <c r="B603" s="2" t="s">
        <v>15</v>
      </c>
      <c r="C603" s="2" t="s">
        <v>16</v>
      </c>
      <c r="D603" s="2" t="str">
        <f>("068702")</f>
        <v>068702</v>
      </c>
      <c r="E603" s="2" t="str">
        <f>("622454687028")</f>
        <v>622454687028</v>
      </c>
      <c r="G603" s="2" t="s">
        <v>687</v>
      </c>
      <c r="H603" s="5">
        <v>3060.62</v>
      </c>
      <c r="I603" s="2" t="s">
        <v>18</v>
      </c>
      <c r="J603" s="3">
        <v>43013</v>
      </c>
      <c r="K603" s="2">
        <v>0.42799999999999999</v>
      </c>
      <c r="L603" s="2">
        <v>0.94399999999999995</v>
      </c>
      <c r="N603" s="2" t="s">
        <v>688</v>
      </c>
    </row>
    <row r="604" spans="1:14" x14ac:dyDescent="0.3">
      <c r="A604" s="2" t="s">
        <v>14</v>
      </c>
      <c r="B604" s="2" t="s">
        <v>15</v>
      </c>
      <c r="C604" s="2" t="s">
        <v>16</v>
      </c>
      <c r="D604" s="2" t="str">
        <f>("068802")</f>
        <v>068802</v>
      </c>
      <c r="E604" s="2" t="str">
        <f>("622454688025")</f>
        <v>622454688025</v>
      </c>
      <c r="G604" s="2" t="s">
        <v>689</v>
      </c>
      <c r="H604" s="5">
        <v>3083.04</v>
      </c>
      <c r="I604" s="2" t="s">
        <v>18</v>
      </c>
      <c r="J604" s="3">
        <v>43013</v>
      </c>
      <c r="K604" s="2">
        <v>0.22700000000000001</v>
      </c>
      <c r="L604" s="2">
        <v>0.5</v>
      </c>
      <c r="N604" s="2" t="s">
        <v>688</v>
      </c>
    </row>
    <row r="605" spans="1:14" x14ac:dyDescent="0.3">
      <c r="A605" s="2" t="s">
        <v>14</v>
      </c>
      <c r="B605" s="2" t="s">
        <v>15</v>
      </c>
      <c r="C605" s="2" t="s">
        <v>16</v>
      </c>
      <c r="D605" s="2" t="str">
        <f>("068902")</f>
        <v>068902</v>
      </c>
      <c r="E605" s="2" t="str">
        <f>("622454689022")</f>
        <v>622454689022</v>
      </c>
      <c r="G605" s="2" t="s">
        <v>690</v>
      </c>
      <c r="H605" s="5">
        <v>2630.12</v>
      </c>
      <c r="I605" s="2" t="s">
        <v>18</v>
      </c>
      <c r="J605" s="3">
        <v>43013</v>
      </c>
      <c r="K605" s="2">
        <v>0.18099999999999999</v>
      </c>
      <c r="L605" s="2">
        <v>0.39900000000000002</v>
      </c>
      <c r="N605" s="2" t="s">
        <v>688</v>
      </c>
    </row>
    <row r="606" spans="1:14" x14ac:dyDescent="0.3">
      <c r="A606" s="2" t="s">
        <v>14</v>
      </c>
      <c r="B606" s="2" t="s">
        <v>15</v>
      </c>
      <c r="C606" s="2" t="s">
        <v>16</v>
      </c>
      <c r="D606" s="2" t="str">
        <f>("078853")</f>
        <v>078853</v>
      </c>
      <c r="E606" s="2" t="str">
        <f>("622454788534")</f>
        <v>622454788534</v>
      </c>
      <c r="G606" s="2" t="s">
        <v>691</v>
      </c>
      <c r="H606" s="5">
        <v>2995.6</v>
      </c>
      <c r="I606" s="2" t="s">
        <v>18</v>
      </c>
      <c r="J606" s="3">
        <v>43013</v>
      </c>
      <c r="K606" s="2">
        <v>0.14499999999999999</v>
      </c>
      <c r="L606" s="2">
        <v>0.32</v>
      </c>
      <c r="N606" s="2" t="s">
        <v>688</v>
      </c>
    </row>
    <row r="607" spans="1:14" x14ac:dyDescent="0.3">
      <c r="A607" s="2" t="s">
        <v>14</v>
      </c>
      <c r="B607" s="2" t="s">
        <v>15</v>
      </c>
      <c r="C607" s="2" t="s">
        <v>16</v>
      </c>
      <c r="D607" s="2" t="str">
        <f>("068703")</f>
        <v>068703</v>
      </c>
      <c r="E607" s="2" t="str">
        <f>("622454687035")</f>
        <v>622454687035</v>
      </c>
      <c r="G607" s="2" t="s">
        <v>692</v>
      </c>
      <c r="H607" s="5">
        <v>4208.6400000000003</v>
      </c>
      <c r="I607" s="2" t="s">
        <v>18</v>
      </c>
      <c r="J607" s="3">
        <v>43013</v>
      </c>
      <c r="K607" s="2">
        <v>0.67200000000000004</v>
      </c>
      <c r="L607" s="2">
        <v>1.482</v>
      </c>
      <c r="N607" s="2" t="s">
        <v>688</v>
      </c>
    </row>
    <row r="608" spans="1:14" x14ac:dyDescent="0.3">
      <c r="A608" s="2" t="s">
        <v>14</v>
      </c>
      <c r="B608" s="2" t="s">
        <v>15</v>
      </c>
      <c r="C608" s="2" t="s">
        <v>16</v>
      </c>
      <c r="D608" s="2" t="str">
        <f>("068803")</f>
        <v>068803</v>
      </c>
      <c r="E608" s="2" t="str">
        <f>("622454688032")</f>
        <v>622454688032</v>
      </c>
      <c r="G608" s="2" t="s">
        <v>693</v>
      </c>
      <c r="H608" s="5">
        <v>3775.89</v>
      </c>
      <c r="I608" s="2" t="s">
        <v>18</v>
      </c>
      <c r="J608" s="3">
        <v>43013</v>
      </c>
      <c r="K608" s="2">
        <v>0.318</v>
      </c>
      <c r="L608" s="2">
        <v>0.70099999999999996</v>
      </c>
      <c r="N608" s="2" t="s">
        <v>688</v>
      </c>
    </row>
    <row r="609" spans="1:14" x14ac:dyDescent="0.3">
      <c r="A609" s="2" t="s">
        <v>14</v>
      </c>
      <c r="B609" s="2" t="s">
        <v>15</v>
      </c>
      <c r="C609" s="2" t="s">
        <v>16</v>
      </c>
      <c r="D609" s="2" t="str">
        <f>("068903")</f>
        <v>068903</v>
      </c>
      <c r="E609" s="2" t="str">
        <f>("622454689039")</f>
        <v>622454689039</v>
      </c>
      <c r="G609" s="2" t="s">
        <v>694</v>
      </c>
      <c r="H609" s="5">
        <v>2569.58</v>
      </c>
      <c r="I609" s="2" t="s">
        <v>18</v>
      </c>
      <c r="J609" s="3">
        <v>43013</v>
      </c>
      <c r="K609" s="2">
        <v>0.27200000000000002</v>
      </c>
      <c r="L609" s="2">
        <v>0.6</v>
      </c>
      <c r="N609" s="2" t="s">
        <v>688</v>
      </c>
    </row>
    <row r="610" spans="1:14" x14ac:dyDescent="0.3">
      <c r="A610" s="2" t="s">
        <v>14</v>
      </c>
      <c r="B610" s="2" t="s">
        <v>15</v>
      </c>
      <c r="C610" s="2" t="s">
        <v>16</v>
      </c>
      <c r="D610" s="2" t="str">
        <f>("068513")</f>
        <v>068513</v>
      </c>
      <c r="E610" s="2" t="str">
        <f>("622454685130")</f>
        <v>622454685130</v>
      </c>
      <c r="G610" s="2" t="s">
        <v>695</v>
      </c>
      <c r="H610" s="5">
        <v>2569.58</v>
      </c>
      <c r="I610" s="2" t="s">
        <v>18</v>
      </c>
      <c r="J610" s="3">
        <v>43013</v>
      </c>
      <c r="K610" s="2">
        <v>0.19500000000000001</v>
      </c>
      <c r="L610" s="2">
        <v>0.43</v>
      </c>
      <c r="N610" s="2" t="s">
        <v>688</v>
      </c>
    </row>
    <row r="611" spans="1:14" x14ac:dyDescent="0.3">
      <c r="A611" s="2" t="s">
        <v>14</v>
      </c>
      <c r="B611" s="2" t="s">
        <v>15</v>
      </c>
      <c r="C611" s="2" t="s">
        <v>16</v>
      </c>
      <c r="D611" s="2" t="str">
        <f>("568704")</f>
        <v>568704</v>
      </c>
      <c r="E611" s="2" t="str">
        <f>("622454389687")</f>
        <v>622454389687</v>
      </c>
      <c r="G611" s="2" t="s">
        <v>696</v>
      </c>
      <c r="H611" s="5">
        <v>4172.76</v>
      </c>
      <c r="I611" s="2" t="s">
        <v>18</v>
      </c>
      <c r="J611" s="3">
        <v>43013</v>
      </c>
      <c r="K611" s="2">
        <v>0.59</v>
      </c>
      <c r="L611" s="2">
        <v>1.3009999999999999</v>
      </c>
      <c r="N611" s="2" t="s">
        <v>688</v>
      </c>
    </row>
    <row r="612" spans="1:14" x14ac:dyDescent="0.3">
      <c r="A612" s="2" t="s">
        <v>14</v>
      </c>
      <c r="B612" s="2" t="s">
        <v>15</v>
      </c>
      <c r="C612" s="2" t="s">
        <v>16</v>
      </c>
      <c r="D612" s="2" t="str">
        <f>("068804")</f>
        <v>068804</v>
      </c>
      <c r="E612" s="2" t="str">
        <f>("622454688049")</f>
        <v>622454688049</v>
      </c>
      <c r="G612" s="2" t="s">
        <v>697</v>
      </c>
      <c r="H612" s="5">
        <v>4051.68</v>
      </c>
      <c r="I612" s="2" t="s">
        <v>18</v>
      </c>
      <c r="J612" s="3">
        <v>43013</v>
      </c>
      <c r="K612" s="2">
        <v>0.39900000000000002</v>
      </c>
      <c r="L612" s="2">
        <v>0.88</v>
      </c>
      <c r="N612" s="2" t="s">
        <v>688</v>
      </c>
    </row>
    <row r="613" spans="1:14" x14ac:dyDescent="0.3">
      <c r="A613" s="2" t="s">
        <v>14</v>
      </c>
      <c r="B613" s="2" t="s">
        <v>15</v>
      </c>
      <c r="C613" s="2" t="s">
        <v>16</v>
      </c>
      <c r="D613" s="2" t="str">
        <f>("068904")</f>
        <v>068904</v>
      </c>
      <c r="E613" s="2" t="str">
        <f>("622454689046")</f>
        <v>622454689046</v>
      </c>
      <c r="G613" s="2" t="s">
        <v>698</v>
      </c>
      <c r="H613" s="5">
        <v>3329.69</v>
      </c>
      <c r="I613" s="2" t="s">
        <v>18</v>
      </c>
      <c r="J613" s="3">
        <v>43013</v>
      </c>
      <c r="K613" s="2">
        <v>0.318</v>
      </c>
      <c r="L613" s="2">
        <v>0.70099999999999996</v>
      </c>
      <c r="N613" s="2" t="s">
        <v>688</v>
      </c>
    </row>
    <row r="614" spans="1:14" x14ac:dyDescent="0.3">
      <c r="A614" s="2" t="s">
        <v>14</v>
      </c>
      <c r="B614" s="2" t="s">
        <v>15</v>
      </c>
      <c r="C614" s="2" t="s">
        <v>16</v>
      </c>
      <c r="D614" s="2" t="str">
        <f>("068523")</f>
        <v>068523</v>
      </c>
      <c r="E614" s="2" t="str">
        <f>("622454685239")</f>
        <v>622454685239</v>
      </c>
      <c r="G614" s="2" t="s">
        <v>699</v>
      </c>
      <c r="H614" s="5">
        <v>3735.53</v>
      </c>
      <c r="I614" s="2" t="s">
        <v>18</v>
      </c>
      <c r="J614" s="3">
        <v>43013</v>
      </c>
      <c r="K614" s="2">
        <v>0.27500000000000002</v>
      </c>
      <c r="L614" s="2">
        <v>0.60599999999999998</v>
      </c>
      <c r="N614" s="2" t="s">
        <v>688</v>
      </c>
    </row>
    <row r="615" spans="1:14" x14ac:dyDescent="0.3">
      <c r="A615" s="2" t="s">
        <v>14</v>
      </c>
      <c r="B615" s="2" t="s">
        <v>15</v>
      </c>
      <c r="C615" s="2" t="s">
        <v>16</v>
      </c>
      <c r="D615" s="2" t="str">
        <f>("068705")</f>
        <v>068705</v>
      </c>
      <c r="E615" s="2" t="str">
        <f>("622454687059")</f>
        <v>622454687059</v>
      </c>
      <c r="G615" s="2" t="s">
        <v>700</v>
      </c>
      <c r="H615" s="5">
        <v>3686.2</v>
      </c>
      <c r="I615" s="2" t="s">
        <v>18</v>
      </c>
      <c r="J615" s="3">
        <v>43013</v>
      </c>
      <c r="K615" s="2">
        <v>1.115</v>
      </c>
      <c r="L615" s="2">
        <v>2.4580000000000002</v>
      </c>
      <c r="N615" s="2" t="s">
        <v>688</v>
      </c>
    </row>
    <row r="616" spans="1:14" x14ac:dyDescent="0.3">
      <c r="A616" s="2" t="s">
        <v>14</v>
      </c>
      <c r="B616" s="2" t="s">
        <v>15</v>
      </c>
      <c r="C616" s="2" t="s">
        <v>16</v>
      </c>
      <c r="D616" s="2" t="str">
        <f>("068805")</f>
        <v>068805</v>
      </c>
      <c r="E616" s="2" t="str">
        <f>("622454688056")</f>
        <v>622454688056</v>
      </c>
      <c r="G616" s="2" t="s">
        <v>701</v>
      </c>
      <c r="H616" s="5">
        <v>2726.53</v>
      </c>
      <c r="I616" s="2" t="s">
        <v>18</v>
      </c>
      <c r="J616" s="3">
        <v>43013</v>
      </c>
      <c r="K616" s="2">
        <v>0.83899999999999997</v>
      </c>
      <c r="L616" s="2">
        <v>1.85</v>
      </c>
      <c r="N616" s="2" t="s">
        <v>688</v>
      </c>
    </row>
    <row r="617" spans="1:14" x14ac:dyDescent="0.3">
      <c r="A617" s="2" t="s">
        <v>14</v>
      </c>
      <c r="B617" s="2" t="s">
        <v>15</v>
      </c>
      <c r="C617" s="2" t="s">
        <v>16</v>
      </c>
      <c r="D617" s="2" t="str">
        <f>("068905")</f>
        <v>068905</v>
      </c>
      <c r="E617" s="2" t="str">
        <f>("622454689053")</f>
        <v>622454689053</v>
      </c>
      <c r="G617" s="2" t="s">
        <v>702</v>
      </c>
      <c r="H617" s="5">
        <v>3354.35</v>
      </c>
      <c r="I617" s="2" t="s">
        <v>18</v>
      </c>
      <c r="J617" s="3">
        <v>43013</v>
      </c>
      <c r="K617" s="2">
        <v>0.63800000000000001</v>
      </c>
      <c r="L617" s="2">
        <v>1.407</v>
      </c>
      <c r="N617" s="2" t="s">
        <v>688</v>
      </c>
    </row>
    <row r="618" spans="1:14" x14ac:dyDescent="0.3">
      <c r="A618" s="2" t="s">
        <v>14</v>
      </c>
      <c r="B618" s="2" t="s">
        <v>15</v>
      </c>
      <c r="C618" s="2" t="s">
        <v>16</v>
      </c>
      <c r="D618" s="2" t="str">
        <f>("068514")</f>
        <v>068514</v>
      </c>
      <c r="E618" s="2" t="str">
        <f>("622454685147")</f>
        <v>622454685147</v>
      </c>
      <c r="G618" s="2" t="s">
        <v>703</v>
      </c>
      <c r="H618" s="5">
        <v>3466.46</v>
      </c>
      <c r="I618" s="2" t="s">
        <v>18</v>
      </c>
      <c r="J618" s="3">
        <v>43013</v>
      </c>
      <c r="K618" s="2">
        <v>0.42699999999999999</v>
      </c>
      <c r="L618" s="2">
        <v>0.94099999999999995</v>
      </c>
      <c r="N618" s="2" t="s">
        <v>688</v>
      </c>
    </row>
    <row r="619" spans="1:14" x14ac:dyDescent="0.3">
      <c r="A619" s="2" t="s">
        <v>14</v>
      </c>
      <c r="B619" s="2" t="s">
        <v>15</v>
      </c>
      <c r="C619" s="2" t="s">
        <v>16</v>
      </c>
      <c r="D619" s="2" t="str">
        <f>("068706")</f>
        <v>068706</v>
      </c>
      <c r="E619" s="2" t="str">
        <f>("622454687066")</f>
        <v>622454687066</v>
      </c>
      <c r="G619" s="2" t="s">
        <v>704</v>
      </c>
      <c r="H619" s="5">
        <v>5596.57</v>
      </c>
      <c r="I619" s="2" t="s">
        <v>18</v>
      </c>
      <c r="J619" s="3">
        <v>43013</v>
      </c>
      <c r="K619" s="2">
        <v>2.25</v>
      </c>
      <c r="L619" s="2">
        <v>4.96</v>
      </c>
      <c r="N619" s="2" t="s">
        <v>688</v>
      </c>
    </row>
    <row r="620" spans="1:14" x14ac:dyDescent="0.3">
      <c r="A620" s="2" t="s">
        <v>14</v>
      </c>
      <c r="B620" s="2" t="s">
        <v>15</v>
      </c>
      <c r="C620" s="2" t="s">
        <v>16</v>
      </c>
      <c r="D620" s="2" t="str">
        <f>("068806")</f>
        <v>068806</v>
      </c>
      <c r="E620" s="2" t="str">
        <f>("622454688063")</f>
        <v>622454688063</v>
      </c>
      <c r="G620" s="2" t="s">
        <v>705</v>
      </c>
      <c r="H620" s="5">
        <v>4681.74</v>
      </c>
      <c r="I620" s="2" t="s">
        <v>18</v>
      </c>
      <c r="J620" s="3">
        <v>43013</v>
      </c>
      <c r="K620" s="2">
        <v>0.81599999999999995</v>
      </c>
      <c r="L620" s="2">
        <v>1.7989999999999999</v>
      </c>
      <c r="N620" s="2" t="s">
        <v>688</v>
      </c>
    </row>
    <row r="621" spans="1:14" x14ac:dyDescent="0.3">
      <c r="A621" s="2" t="s">
        <v>14</v>
      </c>
      <c r="B621" s="2" t="s">
        <v>15</v>
      </c>
      <c r="C621" s="2" t="s">
        <v>16</v>
      </c>
      <c r="D621" s="2" t="str">
        <f>("068906")</f>
        <v>068906</v>
      </c>
      <c r="E621" s="2" t="str">
        <f>("622454689060")</f>
        <v>622454689060</v>
      </c>
      <c r="G621" s="2" t="s">
        <v>706</v>
      </c>
      <c r="H621" s="5">
        <v>4569.63</v>
      </c>
      <c r="I621" s="2" t="s">
        <v>18</v>
      </c>
      <c r="J621" s="3">
        <v>43013</v>
      </c>
      <c r="K621" s="2">
        <v>0.63500000000000001</v>
      </c>
      <c r="L621" s="2">
        <v>1.4</v>
      </c>
      <c r="N621" s="2" t="s">
        <v>688</v>
      </c>
    </row>
    <row r="622" spans="1:14" x14ac:dyDescent="0.3">
      <c r="A622" s="2" t="s">
        <v>14</v>
      </c>
      <c r="B622" s="2" t="s">
        <v>15</v>
      </c>
      <c r="C622" s="2" t="s">
        <v>16</v>
      </c>
      <c r="D622" s="2" t="str">
        <f>("068524")</f>
        <v>068524</v>
      </c>
      <c r="E622" s="2" t="str">
        <f>("622454685246")</f>
        <v>622454685246</v>
      </c>
      <c r="G622" s="2" t="s">
        <v>707</v>
      </c>
      <c r="H622" s="5">
        <v>4199.67</v>
      </c>
      <c r="I622" s="2" t="s">
        <v>18</v>
      </c>
      <c r="J622" s="3">
        <v>43013</v>
      </c>
      <c r="K622" s="2">
        <v>0.67</v>
      </c>
      <c r="L622" s="2">
        <v>1.4770000000000001</v>
      </c>
      <c r="N622" s="2" t="s">
        <v>688</v>
      </c>
    </row>
    <row r="623" spans="1:14" x14ac:dyDescent="0.3">
      <c r="A623" s="2" t="s">
        <v>14</v>
      </c>
      <c r="B623" s="2" t="s">
        <v>15</v>
      </c>
      <c r="C623" s="2" t="s">
        <v>16</v>
      </c>
      <c r="D623" s="2" t="str">
        <f>("068707")</f>
        <v>068707</v>
      </c>
      <c r="E623" s="2" t="str">
        <f>("622454687073")</f>
        <v>622454687073</v>
      </c>
      <c r="G623" s="2" t="s">
        <v>708</v>
      </c>
      <c r="H623" s="5">
        <v>7092.12</v>
      </c>
      <c r="I623" s="2" t="s">
        <v>18</v>
      </c>
      <c r="J623" s="3">
        <v>43013</v>
      </c>
      <c r="K623" s="2">
        <v>3.4060000000000001</v>
      </c>
      <c r="L623" s="2">
        <v>7.5090000000000003</v>
      </c>
      <c r="N623" s="2" t="s">
        <v>688</v>
      </c>
    </row>
    <row r="624" spans="1:14" x14ac:dyDescent="0.3">
      <c r="A624" s="2" t="s">
        <v>14</v>
      </c>
      <c r="B624" s="2" t="s">
        <v>15</v>
      </c>
      <c r="C624" s="2" t="s">
        <v>16</v>
      </c>
      <c r="D624" s="2" t="str">
        <f>("068807")</f>
        <v>068807</v>
      </c>
      <c r="E624" s="2" t="str">
        <f>("622454688070")</f>
        <v>622454688070</v>
      </c>
      <c r="G624" s="2" t="s">
        <v>709</v>
      </c>
      <c r="H624" s="5">
        <v>7186.3</v>
      </c>
      <c r="I624" s="2" t="s">
        <v>18</v>
      </c>
      <c r="J624" s="3">
        <v>43013</v>
      </c>
      <c r="K624" s="2">
        <v>1.7030000000000001</v>
      </c>
      <c r="L624" s="2">
        <v>3.754</v>
      </c>
      <c r="N624" s="2" t="s">
        <v>688</v>
      </c>
    </row>
    <row r="625" spans="1:14" x14ac:dyDescent="0.3">
      <c r="A625" s="2" t="s">
        <v>14</v>
      </c>
      <c r="B625" s="2" t="s">
        <v>15</v>
      </c>
      <c r="C625" s="2" t="s">
        <v>16</v>
      </c>
      <c r="D625" s="2" t="str">
        <f>("068907")</f>
        <v>068907</v>
      </c>
      <c r="E625" s="2" t="str">
        <f>("622454001367")</f>
        <v>622454001367</v>
      </c>
      <c r="G625" s="2" t="s">
        <v>710</v>
      </c>
      <c r="H625" s="5">
        <v>7870.17</v>
      </c>
      <c r="I625" s="2" t="s">
        <v>18</v>
      </c>
      <c r="J625" s="3">
        <v>43013</v>
      </c>
      <c r="K625" s="2">
        <v>0.998</v>
      </c>
      <c r="L625" s="2">
        <v>2.2000000000000002</v>
      </c>
      <c r="N625" s="2" t="s">
        <v>688</v>
      </c>
    </row>
    <row r="626" spans="1:14" x14ac:dyDescent="0.3">
      <c r="A626" s="2" t="s">
        <v>14</v>
      </c>
      <c r="B626" s="2" t="s">
        <v>15</v>
      </c>
      <c r="C626" s="2" t="s">
        <v>16</v>
      </c>
      <c r="D626" s="2" t="str">
        <f>("068516")</f>
        <v>068516</v>
      </c>
      <c r="E626" s="2" t="str">
        <f>("622454685161")</f>
        <v>622454685161</v>
      </c>
      <c r="G626" s="2" t="s">
        <v>711</v>
      </c>
      <c r="H626" s="5">
        <v>7737.88</v>
      </c>
      <c r="I626" s="2" t="s">
        <v>18</v>
      </c>
      <c r="J626" s="3">
        <v>43013</v>
      </c>
      <c r="K626" s="2">
        <v>1.135</v>
      </c>
      <c r="L626" s="2">
        <v>2.5019999999999998</v>
      </c>
      <c r="N626" s="2" t="s">
        <v>688</v>
      </c>
    </row>
    <row r="627" spans="1:14" x14ac:dyDescent="0.3">
      <c r="A627" s="2" t="s">
        <v>14</v>
      </c>
      <c r="B627" s="2" t="s">
        <v>15</v>
      </c>
      <c r="C627" s="2" t="s">
        <v>16</v>
      </c>
      <c r="D627" s="2" t="str">
        <f>("068722")</f>
        <v>068722</v>
      </c>
      <c r="E627" s="2" t="str">
        <f>("622454687226")</f>
        <v>622454687226</v>
      </c>
      <c r="G627" s="2" t="s">
        <v>712</v>
      </c>
      <c r="H627" s="5">
        <v>2468.6799999999998</v>
      </c>
      <c r="I627" s="2" t="s">
        <v>18</v>
      </c>
      <c r="J627" s="3">
        <v>43013</v>
      </c>
      <c r="K627" s="2">
        <v>0.64300000000000002</v>
      </c>
      <c r="L627" s="2">
        <v>1.4179999999999999</v>
      </c>
      <c r="N627" s="2" t="s">
        <v>688</v>
      </c>
    </row>
    <row r="628" spans="1:14" x14ac:dyDescent="0.3">
      <c r="A628" s="2" t="s">
        <v>14</v>
      </c>
      <c r="B628" s="2" t="s">
        <v>15</v>
      </c>
      <c r="C628" s="2" t="s">
        <v>16</v>
      </c>
      <c r="D628" s="2" t="str">
        <f>("068822")</f>
        <v>068822</v>
      </c>
      <c r="E628" s="2" t="str">
        <f>("622454688223")</f>
        <v>622454688223</v>
      </c>
      <c r="G628" s="2" t="s">
        <v>713</v>
      </c>
      <c r="H628" s="5">
        <v>2910.39</v>
      </c>
      <c r="I628" s="2" t="s">
        <v>18</v>
      </c>
      <c r="J628" s="3">
        <v>43013</v>
      </c>
      <c r="K628" s="2">
        <v>0.27200000000000002</v>
      </c>
      <c r="L628" s="2">
        <v>0.6</v>
      </c>
      <c r="N628" s="2" t="s">
        <v>688</v>
      </c>
    </row>
    <row r="629" spans="1:14" x14ac:dyDescent="0.3">
      <c r="A629" s="2" t="s">
        <v>14</v>
      </c>
      <c r="B629" s="2" t="s">
        <v>15</v>
      </c>
      <c r="C629" s="2" t="s">
        <v>16</v>
      </c>
      <c r="D629" s="2" t="str">
        <f>("068922")</f>
        <v>068922</v>
      </c>
      <c r="E629" s="2" t="str">
        <f>("622454689220")</f>
        <v>622454689220</v>
      </c>
      <c r="G629" s="2" t="s">
        <v>714</v>
      </c>
      <c r="H629" s="5">
        <v>2329.66</v>
      </c>
      <c r="I629" s="2" t="s">
        <v>18</v>
      </c>
      <c r="J629" s="3">
        <v>43013</v>
      </c>
      <c r="K629" s="2">
        <v>0.22700000000000001</v>
      </c>
      <c r="L629" s="2">
        <v>0.5</v>
      </c>
      <c r="N629" s="2" t="s">
        <v>688</v>
      </c>
    </row>
    <row r="630" spans="1:14" x14ac:dyDescent="0.3">
      <c r="A630" s="2" t="s">
        <v>14</v>
      </c>
      <c r="B630" s="2" t="s">
        <v>15</v>
      </c>
      <c r="C630" s="2" t="s">
        <v>16</v>
      </c>
      <c r="D630" s="2" t="str">
        <f>("078035")</f>
        <v>078035</v>
      </c>
      <c r="E630" s="2" t="str">
        <f>("622454780354")</f>
        <v>622454780354</v>
      </c>
      <c r="G630" s="2" t="s">
        <v>715</v>
      </c>
      <c r="H630" s="5">
        <v>3302.78</v>
      </c>
      <c r="I630" s="2" t="s">
        <v>18</v>
      </c>
      <c r="J630" s="3">
        <v>43013</v>
      </c>
      <c r="K630" s="2">
        <v>0.17</v>
      </c>
      <c r="L630" s="2">
        <v>0.375</v>
      </c>
      <c r="N630" s="2" t="s">
        <v>688</v>
      </c>
    </row>
    <row r="631" spans="1:14" x14ac:dyDescent="0.3">
      <c r="A631" s="2" t="s">
        <v>14</v>
      </c>
      <c r="B631" s="2" t="s">
        <v>15</v>
      </c>
      <c r="C631" s="2" t="s">
        <v>16</v>
      </c>
      <c r="D631" s="2" t="str">
        <f>("068723")</f>
        <v>068723</v>
      </c>
      <c r="E631" s="2" t="str">
        <f>("622454687233")</f>
        <v>622454687233</v>
      </c>
      <c r="G631" s="2" t="s">
        <v>716</v>
      </c>
      <c r="H631" s="5">
        <v>4486.67</v>
      </c>
      <c r="I631" s="2" t="s">
        <v>18</v>
      </c>
      <c r="J631" s="3">
        <v>43013</v>
      </c>
      <c r="K631" s="2">
        <v>1.0089999999999999</v>
      </c>
      <c r="L631" s="2">
        <v>2.2240000000000002</v>
      </c>
      <c r="N631" s="2" t="s">
        <v>688</v>
      </c>
    </row>
    <row r="632" spans="1:14" x14ac:dyDescent="0.3">
      <c r="A632" s="2" t="s">
        <v>14</v>
      </c>
      <c r="B632" s="2" t="s">
        <v>15</v>
      </c>
      <c r="C632" s="2" t="s">
        <v>16</v>
      </c>
      <c r="D632" s="2" t="str">
        <f>("068823")</f>
        <v>068823</v>
      </c>
      <c r="E632" s="2" t="str">
        <f>("622454688230")</f>
        <v>622454688230</v>
      </c>
      <c r="G632" s="2" t="s">
        <v>717</v>
      </c>
      <c r="H632" s="5">
        <v>3831.94</v>
      </c>
      <c r="I632" s="2" t="s">
        <v>18</v>
      </c>
      <c r="J632" s="3">
        <v>43013</v>
      </c>
      <c r="K632" s="2">
        <v>0.36299999999999999</v>
      </c>
      <c r="L632" s="2">
        <v>0.8</v>
      </c>
      <c r="N632" s="2" t="s">
        <v>688</v>
      </c>
    </row>
    <row r="633" spans="1:14" x14ac:dyDescent="0.3">
      <c r="A633" s="2" t="s">
        <v>14</v>
      </c>
      <c r="B633" s="2" t="s">
        <v>15</v>
      </c>
      <c r="C633" s="2" t="s">
        <v>16</v>
      </c>
      <c r="D633" s="2" t="str">
        <f>("068923")</f>
        <v>068923</v>
      </c>
      <c r="E633" s="2" t="str">
        <f>("622454689237")</f>
        <v>622454689237</v>
      </c>
      <c r="G633" s="2" t="s">
        <v>718</v>
      </c>
      <c r="H633" s="5">
        <v>2921.61</v>
      </c>
      <c r="I633" s="2" t="s">
        <v>18</v>
      </c>
      <c r="J633" s="3">
        <v>43013</v>
      </c>
      <c r="K633" s="2">
        <v>0.27200000000000002</v>
      </c>
      <c r="L633" s="2">
        <v>0.6</v>
      </c>
      <c r="N633" s="2" t="s">
        <v>688</v>
      </c>
    </row>
    <row r="634" spans="1:14" x14ac:dyDescent="0.3">
      <c r="A634" s="2" t="s">
        <v>14</v>
      </c>
      <c r="B634" s="2" t="s">
        <v>15</v>
      </c>
      <c r="C634" s="2" t="s">
        <v>16</v>
      </c>
      <c r="D634" s="2" t="str">
        <f>("078667")</f>
        <v>078667</v>
      </c>
      <c r="E634" s="2" t="str">
        <f>("622454786677")</f>
        <v>622454786677</v>
      </c>
      <c r="G634" s="2" t="s">
        <v>719</v>
      </c>
      <c r="H634" s="5">
        <v>2953</v>
      </c>
      <c r="I634" s="2" t="s">
        <v>18</v>
      </c>
      <c r="J634" s="3">
        <v>43013</v>
      </c>
      <c r="K634" s="2">
        <v>0.23</v>
      </c>
      <c r="L634" s="2">
        <v>0.50700000000000001</v>
      </c>
      <c r="N634" s="2" t="s">
        <v>688</v>
      </c>
    </row>
    <row r="635" spans="1:14" x14ac:dyDescent="0.3">
      <c r="A635" s="2" t="s">
        <v>14</v>
      </c>
      <c r="B635" s="2" t="s">
        <v>15</v>
      </c>
      <c r="C635" s="2" t="s">
        <v>16</v>
      </c>
      <c r="D635" s="2" t="str">
        <f>("068724")</f>
        <v>068724</v>
      </c>
      <c r="E635" s="2" t="str">
        <f>("622454687240")</f>
        <v>622454687240</v>
      </c>
      <c r="G635" s="2" t="s">
        <v>720</v>
      </c>
      <c r="H635" s="5">
        <v>4033.74</v>
      </c>
      <c r="I635" s="2" t="s">
        <v>18</v>
      </c>
      <c r="J635" s="3">
        <v>43013</v>
      </c>
      <c r="K635" s="2">
        <v>1.002</v>
      </c>
      <c r="L635" s="2">
        <v>2.2090000000000001</v>
      </c>
      <c r="N635" s="2" t="s">
        <v>688</v>
      </c>
    </row>
    <row r="636" spans="1:14" x14ac:dyDescent="0.3">
      <c r="A636" s="2" t="s">
        <v>14</v>
      </c>
      <c r="B636" s="2" t="s">
        <v>15</v>
      </c>
      <c r="C636" s="2" t="s">
        <v>16</v>
      </c>
      <c r="D636" s="2" t="str">
        <f>("068824")</f>
        <v>068824</v>
      </c>
      <c r="E636" s="2" t="str">
        <f>("622454688247")</f>
        <v>622454688247</v>
      </c>
      <c r="G636" s="2" t="s">
        <v>721</v>
      </c>
      <c r="H636" s="5">
        <v>4199.67</v>
      </c>
      <c r="I636" s="2" t="s">
        <v>18</v>
      </c>
      <c r="J636" s="3">
        <v>43013</v>
      </c>
      <c r="K636" s="2">
        <v>0.45400000000000001</v>
      </c>
      <c r="L636" s="2">
        <v>1.0009999999999999</v>
      </c>
      <c r="N636" s="2" t="s">
        <v>688</v>
      </c>
    </row>
    <row r="637" spans="1:14" x14ac:dyDescent="0.3">
      <c r="A637" s="2" t="s">
        <v>14</v>
      </c>
      <c r="B637" s="2" t="s">
        <v>15</v>
      </c>
      <c r="C637" s="2" t="s">
        <v>16</v>
      </c>
      <c r="D637" s="2" t="str">
        <f>("068924")</f>
        <v>068924</v>
      </c>
      <c r="E637" s="2" t="str">
        <f>("622454689244")</f>
        <v>622454689244</v>
      </c>
      <c r="G637" s="2" t="s">
        <v>722</v>
      </c>
      <c r="H637" s="5">
        <v>3977.69</v>
      </c>
      <c r="I637" s="2" t="s">
        <v>18</v>
      </c>
      <c r="J637" s="3">
        <v>43013</v>
      </c>
      <c r="K637" s="2">
        <v>0.36299999999999999</v>
      </c>
      <c r="L637" s="2">
        <v>0.8</v>
      </c>
      <c r="N637" s="2" t="s">
        <v>688</v>
      </c>
    </row>
    <row r="638" spans="1:14" x14ac:dyDescent="0.3">
      <c r="A638" s="2" t="s">
        <v>14</v>
      </c>
      <c r="B638" s="2" t="s">
        <v>15</v>
      </c>
      <c r="C638" s="2" t="s">
        <v>16</v>
      </c>
      <c r="D638" s="2" t="str">
        <f>("078668")</f>
        <v>078668</v>
      </c>
      <c r="E638" s="2" t="str">
        <f>("622454786684")</f>
        <v>622454786684</v>
      </c>
      <c r="G638" s="2" t="s">
        <v>723</v>
      </c>
      <c r="H638" s="5">
        <v>3973.2</v>
      </c>
      <c r="I638" s="2" t="s">
        <v>18</v>
      </c>
      <c r="J638" s="3">
        <v>43013</v>
      </c>
      <c r="K638" s="2">
        <v>0.315</v>
      </c>
      <c r="L638" s="2">
        <v>0.69399999999999995</v>
      </c>
      <c r="N638" s="2" t="s">
        <v>688</v>
      </c>
    </row>
    <row r="639" spans="1:14" x14ac:dyDescent="0.3">
      <c r="A639" s="2" t="s">
        <v>14</v>
      </c>
      <c r="B639" s="2" t="s">
        <v>15</v>
      </c>
      <c r="C639" s="2" t="s">
        <v>16</v>
      </c>
      <c r="D639" s="2" t="str">
        <f>("068725")</f>
        <v>068725</v>
      </c>
      <c r="E639" s="2" t="str">
        <f>("622454687257")</f>
        <v>622454687257</v>
      </c>
      <c r="G639" s="2" t="s">
        <v>724</v>
      </c>
      <c r="H639" s="5">
        <v>4379.04</v>
      </c>
      <c r="I639" s="2" t="s">
        <v>18</v>
      </c>
      <c r="J639" s="3">
        <v>43013</v>
      </c>
      <c r="K639" s="2">
        <v>1.32</v>
      </c>
      <c r="L639" s="2">
        <v>2.91</v>
      </c>
      <c r="N639" s="2" t="s">
        <v>688</v>
      </c>
    </row>
    <row r="640" spans="1:14" x14ac:dyDescent="0.3">
      <c r="A640" s="2" t="s">
        <v>14</v>
      </c>
      <c r="B640" s="2" t="s">
        <v>15</v>
      </c>
      <c r="C640" s="2" t="s">
        <v>16</v>
      </c>
      <c r="D640" s="2" t="str">
        <f>("068825")</f>
        <v>068825</v>
      </c>
      <c r="E640" s="2" t="str">
        <f>("622454688254")</f>
        <v>622454688254</v>
      </c>
      <c r="G640" s="2" t="s">
        <v>725</v>
      </c>
      <c r="H640" s="5">
        <v>3074.08</v>
      </c>
      <c r="I640" s="2" t="s">
        <v>18</v>
      </c>
      <c r="J640" s="3">
        <v>43013</v>
      </c>
      <c r="K640" s="2">
        <v>0.67</v>
      </c>
      <c r="L640" s="2">
        <v>1.4770000000000001</v>
      </c>
      <c r="N640" s="2" t="s">
        <v>688</v>
      </c>
    </row>
    <row r="641" spans="1:14" x14ac:dyDescent="0.3">
      <c r="A641" s="2" t="s">
        <v>14</v>
      </c>
      <c r="B641" s="2" t="s">
        <v>15</v>
      </c>
      <c r="C641" s="2" t="s">
        <v>16</v>
      </c>
      <c r="D641" s="2" t="str">
        <f>("068925")</f>
        <v>068925</v>
      </c>
      <c r="E641" s="2" t="str">
        <f>("622454689251")</f>
        <v>622454689251</v>
      </c>
      <c r="G641" s="2" t="s">
        <v>726</v>
      </c>
      <c r="H641" s="5">
        <v>3500.1</v>
      </c>
      <c r="I641" s="2" t="s">
        <v>18</v>
      </c>
      <c r="J641" s="3">
        <v>43013</v>
      </c>
      <c r="K641" s="2">
        <v>0.45400000000000001</v>
      </c>
      <c r="L641" s="2">
        <v>1.0009999999999999</v>
      </c>
      <c r="N641" s="2" t="s">
        <v>688</v>
      </c>
    </row>
    <row r="642" spans="1:14" x14ac:dyDescent="0.3">
      <c r="A642" s="2" t="s">
        <v>14</v>
      </c>
      <c r="B642" s="2" t="s">
        <v>15</v>
      </c>
      <c r="C642" s="2" t="s">
        <v>16</v>
      </c>
      <c r="D642" s="2" t="str">
        <f>("068547")</f>
        <v>068547</v>
      </c>
      <c r="E642" s="2" t="str">
        <f>("622454685475")</f>
        <v>622454685475</v>
      </c>
      <c r="G642" s="2" t="s">
        <v>727</v>
      </c>
      <c r="H642" s="5">
        <v>3870.06</v>
      </c>
      <c r="I642" s="2" t="s">
        <v>18</v>
      </c>
      <c r="J642" s="3">
        <v>43013</v>
      </c>
      <c r="K642" s="2">
        <v>0.47599999999999998</v>
      </c>
      <c r="L642" s="2">
        <v>1.0489999999999999</v>
      </c>
      <c r="N642" s="2" t="s">
        <v>688</v>
      </c>
    </row>
    <row r="643" spans="1:14" x14ac:dyDescent="0.3">
      <c r="A643" s="2" t="s">
        <v>14</v>
      </c>
      <c r="B643" s="2" t="s">
        <v>15</v>
      </c>
      <c r="C643" s="2" t="s">
        <v>16</v>
      </c>
      <c r="D643" s="2" t="str">
        <f>("068726")</f>
        <v>068726</v>
      </c>
      <c r="E643" s="2" t="str">
        <f>("622454687264")</f>
        <v>622454687264</v>
      </c>
      <c r="G643" s="2" t="s">
        <v>728</v>
      </c>
      <c r="H643" s="5">
        <v>6746.82</v>
      </c>
      <c r="I643" s="2" t="s">
        <v>18</v>
      </c>
      <c r="J643" s="3">
        <v>43013</v>
      </c>
      <c r="K643" s="2">
        <v>2.25</v>
      </c>
      <c r="L643" s="2">
        <v>4.96</v>
      </c>
      <c r="N643" s="2" t="s">
        <v>688</v>
      </c>
    </row>
    <row r="644" spans="1:14" x14ac:dyDescent="0.3">
      <c r="A644" s="2" t="s">
        <v>14</v>
      </c>
      <c r="B644" s="2" t="s">
        <v>15</v>
      </c>
      <c r="C644" s="2" t="s">
        <v>16</v>
      </c>
      <c r="D644" s="2" t="str">
        <f>("068826")</f>
        <v>068826</v>
      </c>
      <c r="E644" s="2" t="str">
        <f>("622454688261")</f>
        <v>622454688261</v>
      </c>
      <c r="G644" s="2" t="s">
        <v>729</v>
      </c>
      <c r="H644" s="5">
        <v>5159.34</v>
      </c>
      <c r="I644" s="2" t="s">
        <v>18</v>
      </c>
      <c r="J644" s="3">
        <v>43013</v>
      </c>
      <c r="K644" s="2">
        <v>1.5</v>
      </c>
      <c r="L644" s="2">
        <v>3.3069999999999999</v>
      </c>
      <c r="N644" s="2" t="s">
        <v>688</v>
      </c>
    </row>
    <row r="645" spans="1:14" x14ac:dyDescent="0.3">
      <c r="A645" s="2" t="s">
        <v>14</v>
      </c>
      <c r="B645" s="2" t="s">
        <v>15</v>
      </c>
      <c r="C645" s="2" t="s">
        <v>16</v>
      </c>
      <c r="D645" s="2" t="str">
        <f>("068926")</f>
        <v>068926</v>
      </c>
      <c r="E645" s="2" t="str">
        <f>("622454689268")</f>
        <v>622454689268</v>
      </c>
      <c r="G645" s="2" t="s">
        <v>730</v>
      </c>
      <c r="H645" s="5">
        <v>4977.72</v>
      </c>
      <c r="I645" s="2" t="s">
        <v>18</v>
      </c>
      <c r="J645" s="3">
        <v>43013</v>
      </c>
      <c r="K645" s="2">
        <v>0.77100000000000002</v>
      </c>
      <c r="L645" s="2">
        <v>1.7</v>
      </c>
      <c r="N645" s="2" t="s">
        <v>688</v>
      </c>
    </row>
    <row r="646" spans="1:14" x14ac:dyDescent="0.3">
      <c r="A646" s="2" t="s">
        <v>14</v>
      </c>
      <c r="B646" s="2" t="s">
        <v>15</v>
      </c>
      <c r="C646" s="2" t="s">
        <v>16</v>
      </c>
      <c r="D646" s="2" t="str">
        <f>("078275")</f>
        <v>078275</v>
      </c>
      <c r="E646" s="2" t="str">
        <f>("622454782754")</f>
        <v>622454782754</v>
      </c>
      <c r="G646" s="2" t="s">
        <v>731</v>
      </c>
      <c r="H646" s="5">
        <v>4977.72</v>
      </c>
      <c r="I646" s="2" t="s">
        <v>18</v>
      </c>
      <c r="J646" s="3">
        <v>43013</v>
      </c>
      <c r="K646" s="2">
        <v>0.71399999999999997</v>
      </c>
      <c r="L646" s="2">
        <v>1.5740000000000001</v>
      </c>
      <c r="N646" s="2" t="s">
        <v>688</v>
      </c>
    </row>
    <row r="647" spans="1:14" x14ac:dyDescent="0.3">
      <c r="A647" s="2" t="s">
        <v>14</v>
      </c>
      <c r="B647" s="2" t="s">
        <v>15</v>
      </c>
      <c r="C647" s="2" t="s">
        <v>16</v>
      </c>
      <c r="D647" s="2" t="str">
        <f>("068727")</f>
        <v>068727</v>
      </c>
      <c r="E647" s="2" t="str">
        <f>("622454687271")</f>
        <v>622454687271</v>
      </c>
      <c r="G647" s="2" t="s">
        <v>732</v>
      </c>
      <c r="H647" s="5">
        <v>8728.94</v>
      </c>
      <c r="I647" s="2" t="s">
        <v>18</v>
      </c>
      <c r="J647" s="3">
        <v>43013</v>
      </c>
      <c r="K647" s="2">
        <v>3.4060000000000001</v>
      </c>
      <c r="L647" s="2">
        <v>7.5090000000000003</v>
      </c>
      <c r="N647" s="2" t="s">
        <v>688</v>
      </c>
    </row>
    <row r="648" spans="1:14" x14ac:dyDescent="0.3">
      <c r="A648" s="2" t="s">
        <v>14</v>
      </c>
      <c r="B648" s="2" t="s">
        <v>15</v>
      </c>
      <c r="C648" s="2" t="s">
        <v>16</v>
      </c>
      <c r="D648" s="2" t="str">
        <f>("068827")</f>
        <v>068827</v>
      </c>
      <c r="E648" s="2" t="str">
        <f>("622454688278")</f>
        <v>622454688278</v>
      </c>
      <c r="G648" s="2" t="s">
        <v>733</v>
      </c>
      <c r="H648" s="5">
        <v>8145.97</v>
      </c>
      <c r="I648" s="2" t="s">
        <v>18</v>
      </c>
      <c r="J648" s="3">
        <v>43013</v>
      </c>
      <c r="K648" s="2">
        <v>1.81</v>
      </c>
      <c r="L648" s="2">
        <v>3.99</v>
      </c>
      <c r="N648" s="2" t="s">
        <v>688</v>
      </c>
    </row>
    <row r="649" spans="1:14" x14ac:dyDescent="0.3">
      <c r="A649" s="2" t="s">
        <v>14</v>
      </c>
      <c r="B649" s="2" t="s">
        <v>15</v>
      </c>
      <c r="C649" s="2" t="s">
        <v>16</v>
      </c>
      <c r="D649" s="2" t="str">
        <f>("068927")</f>
        <v>068927</v>
      </c>
      <c r="E649" s="2" t="str">
        <f>("622454689275")</f>
        <v>622454689275</v>
      </c>
      <c r="G649" s="2" t="s">
        <v>734</v>
      </c>
      <c r="H649" s="5">
        <v>7702.01</v>
      </c>
      <c r="I649" s="2" t="s">
        <v>18</v>
      </c>
      <c r="J649" s="3">
        <v>43013</v>
      </c>
      <c r="K649" s="2">
        <v>1.089</v>
      </c>
      <c r="L649" s="2">
        <v>2.4009999999999998</v>
      </c>
      <c r="N649" s="2" t="s">
        <v>688</v>
      </c>
    </row>
    <row r="650" spans="1:14" x14ac:dyDescent="0.3">
      <c r="A650" s="2" t="s">
        <v>14</v>
      </c>
      <c r="B650" s="2" t="s">
        <v>15</v>
      </c>
      <c r="C650" s="2" t="s">
        <v>16</v>
      </c>
      <c r="D650" s="2" t="str">
        <f>("068525")</f>
        <v>068525</v>
      </c>
      <c r="E650" s="2" t="str">
        <f>("622454685253")</f>
        <v>622454685253</v>
      </c>
      <c r="G650" s="2" t="s">
        <v>735</v>
      </c>
      <c r="H650" s="5">
        <v>5493.43</v>
      </c>
      <c r="I650" s="2" t="s">
        <v>18</v>
      </c>
      <c r="J650" s="3">
        <v>43013</v>
      </c>
      <c r="K650" s="2">
        <v>1.0149999999999999</v>
      </c>
      <c r="L650" s="2">
        <v>2.238</v>
      </c>
      <c r="N650" s="2" t="s">
        <v>688</v>
      </c>
    </row>
    <row r="651" spans="1:14" x14ac:dyDescent="0.3">
      <c r="A651" s="2" t="s">
        <v>14</v>
      </c>
      <c r="B651" s="2" t="s">
        <v>15</v>
      </c>
      <c r="C651" s="2" t="s">
        <v>16</v>
      </c>
      <c r="D651" s="2" t="str">
        <f>("068728")</f>
        <v>068728</v>
      </c>
      <c r="E651" s="2" t="str">
        <f>("622454687288")</f>
        <v>622454687288</v>
      </c>
      <c r="G651" s="2" t="s">
        <v>736</v>
      </c>
      <c r="H651" s="5">
        <v>11300.76</v>
      </c>
      <c r="I651" s="2" t="s">
        <v>18</v>
      </c>
      <c r="J651" s="3">
        <v>43013</v>
      </c>
      <c r="K651" s="2">
        <v>3.8220000000000001</v>
      </c>
      <c r="L651" s="2">
        <v>8.4260000000000002</v>
      </c>
      <c r="N651" s="2" t="s">
        <v>688</v>
      </c>
    </row>
    <row r="652" spans="1:14" x14ac:dyDescent="0.3">
      <c r="A652" s="2" t="s">
        <v>14</v>
      </c>
      <c r="B652" s="2" t="s">
        <v>15</v>
      </c>
      <c r="C652" s="2" t="s">
        <v>16</v>
      </c>
      <c r="D652" s="2" t="str">
        <f>("068828")</f>
        <v>068828</v>
      </c>
      <c r="E652" s="2" t="str">
        <f>("622454688285")</f>
        <v>622454688285</v>
      </c>
      <c r="G652" s="2" t="s">
        <v>737</v>
      </c>
      <c r="H652" s="5">
        <v>9213.26</v>
      </c>
      <c r="I652" s="2" t="s">
        <v>18</v>
      </c>
      <c r="J652" s="3">
        <v>43013</v>
      </c>
      <c r="K652" s="2">
        <v>1.542</v>
      </c>
      <c r="L652" s="2">
        <v>3.4</v>
      </c>
      <c r="N652" s="2" t="s">
        <v>688</v>
      </c>
    </row>
    <row r="653" spans="1:14" x14ac:dyDescent="0.3">
      <c r="A653" s="2" t="s">
        <v>14</v>
      </c>
      <c r="B653" s="2" t="s">
        <v>15</v>
      </c>
      <c r="C653" s="2" t="s">
        <v>16</v>
      </c>
      <c r="D653" s="2" t="str">
        <f>("068928")</f>
        <v>068928</v>
      </c>
      <c r="E653" s="2" t="str">
        <f>("622454689282")</f>
        <v>622454689282</v>
      </c>
      <c r="G653" s="2" t="s">
        <v>738</v>
      </c>
      <c r="H653" s="5">
        <v>8980.07</v>
      </c>
      <c r="I653" s="2" t="s">
        <v>18</v>
      </c>
      <c r="J653" s="3">
        <v>43013</v>
      </c>
      <c r="K653" s="2">
        <v>1.911</v>
      </c>
      <c r="L653" s="2">
        <v>4.2130000000000001</v>
      </c>
      <c r="N653" s="2" t="s">
        <v>688</v>
      </c>
    </row>
    <row r="654" spans="1:14" x14ac:dyDescent="0.3">
      <c r="A654" s="2" t="s">
        <v>14</v>
      </c>
      <c r="B654" s="2" t="s">
        <v>15</v>
      </c>
      <c r="C654" s="2" t="s">
        <v>16</v>
      </c>
      <c r="D654" s="2" t="str">
        <f>("068130")</f>
        <v>068130</v>
      </c>
      <c r="E654" s="2" t="str">
        <f>("622454681309")</f>
        <v>622454681309</v>
      </c>
      <c r="G654" s="2" t="s">
        <v>739</v>
      </c>
      <c r="H654" s="5">
        <v>5823.03</v>
      </c>
      <c r="I654" s="2" t="s">
        <v>18</v>
      </c>
      <c r="J654" s="3">
        <v>43013</v>
      </c>
      <c r="K654" s="2">
        <v>1.5289999999999999</v>
      </c>
      <c r="L654" s="2">
        <v>3.371</v>
      </c>
      <c r="N654" s="2" t="s">
        <v>688</v>
      </c>
    </row>
    <row r="655" spans="1:14" x14ac:dyDescent="0.3">
      <c r="A655" s="2" t="s">
        <v>14</v>
      </c>
      <c r="B655" s="2" t="s">
        <v>15</v>
      </c>
      <c r="C655" s="2" t="s">
        <v>16</v>
      </c>
      <c r="D655" s="2" t="str">
        <f>("068729")</f>
        <v>068729</v>
      </c>
      <c r="E655" s="2" t="str">
        <f>("622454687295")</f>
        <v>622454687295</v>
      </c>
      <c r="G655" s="2" t="s">
        <v>740</v>
      </c>
      <c r="H655" s="5">
        <v>12599</v>
      </c>
      <c r="I655" s="2" t="s">
        <v>18</v>
      </c>
      <c r="J655" s="3">
        <v>43013</v>
      </c>
      <c r="K655" s="2">
        <v>4.6779999999999999</v>
      </c>
      <c r="L655" s="2">
        <v>10.313000000000001</v>
      </c>
      <c r="N655" s="2" t="s">
        <v>688</v>
      </c>
    </row>
    <row r="656" spans="1:14" x14ac:dyDescent="0.3">
      <c r="A656" s="2" t="s">
        <v>14</v>
      </c>
      <c r="B656" s="2" t="s">
        <v>15</v>
      </c>
      <c r="C656" s="2" t="s">
        <v>16</v>
      </c>
      <c r="D656" s="2" t="str">
        <f>("068829")</f>
        <v>068829</v>
      </c>
      <c r="E656" s="2" t="str">
        <f>("622454688292")</f>
        <v>622454688292</v>
      </c>
      <c r="G656" s="2" t="s">
        <v>741</v>
      </c>
      <c r="H656" s="5">
        <v>12125.9</v>
      </c>
      <c r="I656" s="2" t="s">
        <v>18</v>
      </c>
      <c r="J656" s="3">
        <v>43013</v>
      </c>
      <c r="K656" s="2">
        <v>2.62</v>
      </c>
      <c r="L656" s="2">
        <v>5.7759999999999998</v>
      </c>
      <c r="N656" s="2" t="s">
        <v>688</v>
      </c>
    </row>
    <row r="657" spans="1:14" x14ac:dyDescent="0.3">
      <c r="A657" s="2" t="s">
        <v>14</v>
      </c>
      <c r="B657" s="2" t="s">
        <v>15</v>
      </c>
      <c r="C657" s="2" t="s">
        <v>16</v>
      </c>
      <c r="D657" s="2" t="str">
        <f>("068929")</f>
        <v>068929</v>
      </c>
      <c r="E657" s="2" t="str">
        <f>("622454689299")</f>
        <v>622454689299</v>
      </c>
      <c r="G657" s="2" t="s">
        <v>742</v>
      </c>
      <c r="H657" s="5">
        <v>11650.55</v>
      </c>
      <c r="I657" s="2" t="s">
        <v>18</v>
      </c>
      <c r="J657" s="3">
        <v>43013</v>
      </c>
      <c r="K657" s="2">
        <v>2.339</v>
      </c>
      <c r="L657" s="2">
        <v>5.157</v>
      </c>
      <c r="N657" s="2" t="s">
        <v>688</v>
      </c>
    </row>
    <row r="658" spans="1:14" x14ac:dyDescent="0.3">
      <c r="A658" s="2" t="s">
        <v>14</v>
      </c>
      <c r="B658" s="2" t="s">
        <v>15</v>
      </c>
      <c r="C658" s="2" t="s">
        <v>16</v>
      </c>
      <c r="D658" s="2" t="str">
        <f>("068518")</f>
        <v>068518</v>
      </c>
      <c r="E658" s="2" t="str">
        <f>("622454685185")</f>
        <v>622454685185</v>
      </c>
      <c r="G658" s="2" t="s">
        <v>743</v>
      </c>
      <c r="H658" s="5">
        <v>6302.87</v>
      </c>
      <c r="I658" s="2" t="s">
        <v>18</v>
      </c>
      <c r="J658" s="3">
        <v>43013</v>
      </c>
      <c r="K658" s="2">
        <v>2.339</v>
      </c>
      <c r="L658" s="2">
        <v>5.157</v>
      </c>
      <c r="N658" s="2" t="s">
        <v>688</v>
      </c>
    </row>
    <row r="659" spans="1:14" x14ac:dyDescent="0.3">
      <c r="A659" s="2" t="s">
        <v>14</v>
      </c>
      <c r="B659" s="2" t="s">
        <v>15</v>
      </c>
      <c r="C659" s="2" t="s">
        <v>16</v>
      </c>
      <c r="D659" s="2" t="str">
        <f>("068742")</f>
        <v>068742</v>
      </c>
      <c r="E659" s="2" t="str">
        <f>("622454687424")</f>
        <v>622454687424</v>
      </c>
      <c r="G659" s="2" t="s">
        <v>744</v>
      </c>
      <c r="H659" s="5">
        <v>3818.49</v>
      </c>
      <c r="I659" s="2" t="s">
        <v>18</v>
      </c>
      <c r="J659" s="3">
        <v>43013</v>
      </c>
      <c r="K659" s="2">
        <v>5.0000000000000001E-3</v>
      </c>
      <c r="L659" s="2">
        <v>1.0999999999999999E-2</v>
      </c>
      <c r="N659" s="2" t="s">
        <v>688</v>
      </c>
    </row>
    <row r="660" spans="1:14" x14ac:dyDescent="0.3">
      <c r="A660" s="2" t="s">
        <v>14</v>
      </c>
      <c r="B660" s="2" t="s">
        <v>15</v>
      </c>
      <c r="C660" s="2" t="s">
        <v>16</v>
      </c>
      <c r="D660" s="2" t="str">
        <f>("068842")</f>
        <v>068842</v>
      </c>
      <c r="E660" s="2" t="str">
        <f>("622454688421")</f>
        <v>622454688421</v>
      </c>
      <c r="G660" s="2" t="s">
        <v>745</v>
      </c>
      <c r="H660" s="5">
        <v>3414.89</v>
      </c>
      <c r="I660" s="2" t="s">
        <v>18</v>
      </c>
      <c r="J660" s="3">
        <v>43013</v>
      </c>
      <c r="K660" s="2">
        <v>0.36299999999999999</v>
      </c>
      <c r="L660" s="2">
        <v>0.8</v>
      </c>
      <c r="N660" s="2" t="s">
        <v>688</v>
      </c>
    </row>
    <row r="661" spans="1:14" x14ac:dyDescent="0.3">
      <c r="A661" s="2" t="s">
        <v>14</v>
      </c>
      <c r="B661" s="2" t="s">
        <v>15</v>
      </c>
      <c r="C661" s="2" t="s">
        <v>16</v>
      </c>
      <c r="D661" s="2" t="str">
        <f>("068942")</f>
        <v>068942</v>
      </c>
      <c r="E661" s="2" t="str">
        <f>("622454689428")</f>
        <v>622454689428</v>
      </c>
      <c r="G661" s="2" t="s">
        <v>746</v>
      </c>
      <c r="H661" s="5">
        <v>3284.84</v>
      </c>
      <c r="I661" s="2" t="s">
        <v>18</v>
      </c>
      <c r="J661" s="3">
        <v>43013</v>
      </c>
      <c r="K661" s="2">
        <v>0.22700000000000001</v>
      </c>
      <c r="L661" s="2">
        <v>0.5</v>
      </c>
      <c r="N661" s="2" t="s">
        <v>688</v>
      </c>
    </row>
    <row r="662" spans="1:14" x14ac:dyDescent="0.3">
      <c r="A662" s="2" t="s">
        <v>14</v>
      </c>
      <c r="B662" s="2" t="s">
        <v>15</v>
      </c>
      <c r="C662" s="2" t="s">
        <v>16</v>
      </c>
      <c r="D662" s="2" t="str">
        <f>("068743")</f>
        <v>068743</v>
      </c>
      <c r="E662" s="2" t="str">
        <f>("622454687431")</f>
        <v>622454687431</v>
      </c>
      <c r="G662" s="2" t="s">
        <v>747</v>
      </c>
      <c r="H662" s="5">
        <v>4831.97</v>
      </c>
      <c r="I662" s="2" t="s">
        <v>18</v>
      </c>
      <c r="J662" s="3">
        <v>43013</v>
      </c>
      <c r="K662" s="2">
        <v>5.0000000000000001E-3</v>
      </c>
      <c r="L662" s="2">
        <v>1.0999999999999999E-2</v>
      </c>
      <c r="N662" s="2" t="s">
        <v>688</v>
      </c>
    </row>
    <row r="663" spans="1:14" x14ac:dyDescent="0.3">
      <c r="A663" s="2" t="s">
        <v>14</v>
      </c>
      <c r="B663" s="2" t="s">
        <v>15</v>
      </c>
      <c r="C663" s="2" t="s">
        <v>16</v>
      </c>
      <c r="D663" s="2" t="str">
        <f>("068843")</f>
        <v>068843</v>
      </c>
      <c r="E663" s="2" t="str">
        <f>("622454688438")</f>
        <v>622454688438</v>
      </c>
      <c r="G663" s="2" t="s">
        <v>748</v>
      </c>
      <c r="H663" s="5">
        <v>4663.8100000000004</v>
      </c>
      <c r="I663" s="2" t="s">
        <v>18</v>
      </c>
      <c r="J663" s="3">
        <v>43013</v>
      </c>
      <c r="K663" s="2">
        <v>0.499</v>
      </c>
      <c r="L663" s="2">
        <v>1.1000000000000001</v>
      </c>
      <c r="N663" s="2" t="s">
        <v>688</v>
      </c>
    </row>
    <row r="664" spans="1:14" x14ac:dyDescent="0.3">
      <c r="A664" s="2" t="s">
        <v>14</v>
      </c>
      <c r="B664" s="2" t="s">
        <v>15</v>
      </c>
      <c r="C664" s="2" t="s">
        <v>16</v>
      </c>
      <c r="D664" s="2" t="str">
        <f>("068943")</f>
        <v>068943</v>
      </c>
      <c r="E664" s="2" t="str">
        <f>("622454689435")</f>
        <v>622454689435</v>
      </c>
      <c r="G664" s="2" t="s">
        <v>749</v>
      </c>
      <c r="H664" s="5">
        <v>3854.37</v>
      </c>
      <c r="I664" s="2" t="s">
        <v>18</v>
      </c>
      <c r="J664" s="3">
        <v>43013</v>
      </c>
      <c r="K664" s="2">
        <v>0.318</v>
      </c>
      <c r="L664" s="2">
        <v>0.70099999999999996</v>
      </c>
      <c r="N664" s="2" t="s">
        <v>688</v>
      </c>
    </row>
    <row r="665" spans="1:14" x14ac:dyDescent="0.3">
      <c r="A665" s="2" t="s">
        <v>14</v>
      </c>
      <c r="B665" s="2" t="s">
        <v>15</v>
      </c>
      <c r="C665" s="2" t="s">
        <v>16</v>
      </c>
      <c r="D665" s="2" t="str">
        <f>("068744")</f>
        <v>068744</v>
      </c>
      <c r="E665" s="2" t="str">
        <f>("622454687448")</f>
        <v>622454687448</v>
      </c>
      <c r="G665" s="2" t="s">
        <v>750</v>
      </c>
      <c r="H665" s="5">
        <v>5006.87</v>
      </c>
      <c r="I665" s="2" t="s">
        <v>18</v>
      </c>
      <c r="J665" s="3">
        <v>43013</v>
      </c>
      <c r="K665" s="2">
        <v>5.0000000000000001E-3</v>
      </c>
      <c r="L665" s="2">
        <v>1.0999999999999999E-2</v>
      </c>
      <c r="N665" s="2" t="s">
        <v>688</v>
      </c>
    </row>
    <row r="666" spans="1:14" x14ac:dyDescent="0.3">
      <c r="A666" s="2" t="s">
        <v>14</v>
      </c>
      <c r="B666" s="2" t="s">
        <v>15</v>
      </c>
      <c r="C666" s="2" t="s">
        <v>16</v>
      </c>
      <c r="D666" s="2" t="str">
        <f>("068844")</f>
        <v>068844</v>
      </c>
      <c r="E666" s="2" t="str">
        <f>("622454688445")</f>
        <v>622454688445</v>
      </c>
      <c r="G666" s="2" t="s">
        <v>751</v>
      </c>
      <c r="H666" s="5">
        <v>5852.18</v>
      </c>
      <c r="I666" s="2" t="s">
        <v>18</v>
      </c>
      <c r="J666" s="3">
        <v>43013</v>
      </c>
      <c r="K666" s="2">
        <v>0.59</v>
      </c>
      <c r="L666" s="2">
        <v>1.3009999999999999</v>
      </c>
      <c r="N666" s="2" t="s">
        <v>688</v>
      </c>
    </row>
    <row r="667" spans="1:14" x14ac:dyDescent="0.3">
      <c r="A667" s="2" t="s">
        <v>14</v>
      </c>
      <c r="B667" s="2" t="s">
        <v>15</v>
      </c>
      <c r="C667" s="2" t="s">
        <v>16</v>
      </c>
      <c r="D667" s="2" t="str">
        <f>("068944")</f>
        <v>068944</v>
      </c>
      <c r="E667" s="2" t="str">
        <f>("622454689442")</f>
        <v>622454689442</v>
      </c>
      <c r="G667" s="2" t="s">
        <v>752</v>
      </c>
      <c r="H667" s="5">
        <v>4069.62</v>
      </c>
      <c r="I667" s="2" t="s">
        <v>18</v>
      </c>
      <c r="J667" s="3">
        <v>43013</v>
      </c>
      <c r="K667" s="2">
        <v>0.40799999999999997</v>
      </c>
      <c r="L667" s="2">
        <v>0.89900000000000002</v>
      </c>
      <c r="N667" s="2" t="s">
        <v>688</v>
      </c>
    </row>
    <row r="668" spans="1:14" x14ac:dyDescent="0.3">
      <c r="A668" s="2" t="s">
        <v>14</v>
      </c>
      <c r="B668" s="2" t="s">
        <v>15</v>
      </c>
      <c r="C668" s="2" t="s">
        <v>16</v>
      </c>
      <c r="D668" s="2" t="str">
        <f>("068745")</f>
        <v>068745</v>
      </c>
      <c r="E668" s="2" t="str">
        <f>("622454687455")</f>
        <v>622454687455</v>
      </c>
      <c r="G668" s="2" t="s">
        <v>753</v>
      </c>
      <c r="H668" s="5">
        <v>5181.76</v>
      </c>
      <c r="I668" s="2" t="s">
        <v>18</v>
      </c>
      <c r="J668" s="3">
        <v>43013</v>
      </c>
      <c r="K668" s="2">
        <v>1.667</v>
      </c>
      <c r="L668" s="2">
        <v>3.6749999999999998</v>
      </c>
      <c r="N668" s="2" t="s">
        <v>688</v>
      </c>
    </row>
    <row r="669" spans="1:14" x14ac:dyDescent="0.3">
      <c r="A669" s="2" t="s">
        <v>14</v>
      </c>
      <c r="B669" s="2" t="s">
        <v>15</v>
      </c>
      <c r="C669" s="2" t="s">
        <v>16</v>
      </c>
      <c r="D669" s="2" t="str">
        <f>("068845")</f>
        <v>068845</v>
      </c>
      <c r="E669" s="2" t="str">
        <f>("622454688452")</f>
        <v>622454688452</v>
      </c>
      <c r="G669" s="2" t="s">
        <v>754</v>
      </c>
      <c r="H669" s="5">
        <v>4459.76</v>
      </c>
      <c r="I669" s="2" t="s">
        <v>18</v>
      </c>
      <c r="J669" s="3">
        <v>43013</v>
      </c>
      <c r="K669" s="2">
        <v>0.81599999999999995</v>
      </c>
      <c r="L669" s="2">
        <v>1.7989999999999999</v>
      </c>
      <c r="N669" s="2" t="s">
        <v>688</v>
      </c>
    </row>
    <row r="670" spans="1:14" x14ac:dyDescent="0.3">
      <c r="A670" s="2" t="s">
        <v>14</v>
      </c>
      <c r="B670" s="2" t="s">
        <v>15</v>
      </c>
      <c r="C670" s="2" t="s">
        <v>16</v>
      </c>
      <c r="D670" s="2" t="str">
        <f>("068945")</f>
        <v>068945</v>
      </c>
      <c r="E670" s="2" t="str">
        <f>("622454689459")</f>
        <v>622454689459</v>
      </c>
      <c r="G670" s="2" t="s">
        <v>755</v>
      </c>
      <c r="H670" s="5">
        <v>4215.3599999999997</v>
      </c>
      <c r="I670" s="2" t="s">
        <v>18</v>
      </c>
      <c r="J670" s="3">
        <v>43013</v>
      </c>
      <c r="K670" s="2">
        <v>0.499</v>
      </c>
      <c r="L670" s="2">
        <v>1.1000000000000001</v>
      </c>
      <c r="N670" s="2" t="s">
        <v>688</v>
      </c>
    </row>
    <row r="671" spans="1:14" x14ac:dyDescent="0.3">
      <c r="A671" s="2" t="s">
        <v>14</v>
      </c>
      <c r="B671" s="2" t="s">
        <v>15</v>
      </c>
      <c r="C671" s="2" t="s">
        <v>16</v>
      </c>
      <c r="D671" s="2" t="str">
        <f>("068746")</f>
        <v>068746</v>
      </c>
      <c r="E671" s="2" t="str">
        <f>("622454687462")</f>
        <v>622454687462</v>
      </c>
      <c r="G671" s="2" t="s">
        <v>756</v>
      </c>
      <c r="H671" s="5">
        <v>8939.7099999999991</v>
      </c>
      <c r="I671" s="2" t="s">
        <v>18</v>
      </c>
      <c r="J671" s="3">
        <v>43013</v>
      </c>
      <c r="K671" s="2">
        <v>4.5</v>
      </c>
      <c r="L671" s="2">
        <v>9.9209999999999994</v>
      </c>
      <c r="N671" s="2" t="s">
        <v>688</v>
      </c>
    </row>
    <row r="672" spans="1:14" x14ac:dyDescent="0.3">
      <c r="A672" s="2" t="s">
        <v>14</v>
      </c>
      <c r="B672" s="2" t="s">
        <v>15</v>
      </c>
      <c r="C672" s="2" t="s">
        <v>16</v>
      </c>
      <c r="D672" s="2" t="str">
        <f>("068846")</f>
        <v>068846</v>
      </c>
      <c r="E672" s="2" t="str">
        <f>("622454688469")</f>
        <v>622454688469</v>
      </c>
      <c r="G672" s="2" t="s">
        <v>757</v>
      </c>
      <c r="H672" s="5">
        <v>7912.78</v>
      </c>
      <c r="I672" s="2" t="s">
        <v>18</v>
      </c>
      <c r="J672" s="3">
        <v>43013</v>
      </c>
      <c r="K672" s="2">
        <v>1.089</v>
      </c>
      <c r="L672" s="2">
        <v>2.4009999999999998</v>
      </c>
      <c r="N672" s="2" t="s">
        <v>688</v>
      </c>
    </row>
    <row r="673" spans="1:14" x14ac:dyDescent="0.3">
      <c r="A673" s="2" t="s">
        <v>14</v>
      </c>
      <c r="B673" s="2" t="s">
        <v>15</v>
      </c>
      <c r="C673" s="2" t="s">
        <v>16</v>
      </c>
      <c r="D673" s="2" t="str">
        <f>("068946")</f>
        <v>068946</v>
      </c>
      <c r="E673" s="2" t="str">
        <f>("622454689466")</f>
        <v>622454689466</v>
      </c>
      <c r="G673" s="2" t="s">
        <v>758</v>
      </c>
      <c r="H673" s="5">
        <v>7807.39</v>
      </c>
      <c r="I673" s="2" t="s">
        <v>18</v>
      </c>
      <c r="J673" s="3">
        <v>43013</v>
      </c>
      <c r="K673" s="2">
        <v>0.86199999999999999</v>
      </c>
      <c r="L673" s="2">
        <v>1.9</v>
      </c>
      <c r="N673" s="2" t="s">
        <v>688</v>
      </c>
    </row>
    <row r="674" spans="1:14" x14ac:dyDescent="0.3">
      <c r="A674" s="2" t="s">
        <v>14</v>
      </c>
      <c r="B674" s="2" t="s">
        <v>15</v>
      </c>
      <c r="C674" s="2" t="s">
        <v>16</v>
      </c>
      <c r="D674" s="2" t="str">
        <f>("068747")</f>
        <v>068747</v>
      </c>
      <c r="E674" s="2" t="str">
        <f>("622454687479")</f>
        <v>622454687479</v>
      </c>
      <c r="G674" s="2" t="s">
        <v>759</v>
      </c>
      <c r="H674" s="5">
        <v>10188.620000000001</v>
      </c>
      <c r="I674" s="2" t="s">
        <v>18</v>
      </c>
      <c r="J674" s="3">
        <v>43013</v>
      </c>
      <c r="K674" s="2">
        <v>3.6190000000000002</v>
      </c>
      <c r="L674" s="2">
        <v>7.9790000000000001</v>
      </c>
      <c r="N674" s="2" t="s">
        <v>688</v>
      </c>
    </row>
    <row r="675" spans="1:14" x14ac:dyDescent="0.3">
      <c r="A675" s="2" t="s">
        <v>14</v>
      </c>
      <c r="B675" s="2" t="s">
        <v>15</v>
      </c>
      <c r="C675" s="2" t="s">
        <v>16</v>
      </c>
      <c r="D675" s="2" t="str">
        <f>("068847")</f>
        <v>068847</v>
      </c>
      <c r="E675" s="2" t="str">
        <f>("622454688476")</f>
        <v>622454688476</v>
      </c>
      <c r="G675" s="2" t="s">
        <v>760</v>
      </c>
      <c r="H675" s="5">
        <v>9596.68</v>
      </c>
      <c r="I675" s="2" t="s">
        <v>18</v>
      </c>
      <c r="J675" s="3">
        <v>43013</v>
      </c>
      <c r="K675" s="2">
        <v>1.8140000000000001</v>
      </c>
      <c r="L675" s="2">
        <v>3.9990000000000001</v>
      </c>
      <c r="N675" s="2" t="s">
        <v>688</v>
      </c>
    </row>
    <row r="676" spans="1:14" x14ac:dyDescent="0.3">
      <c r="A676" s="2" t="s">
        <v>14</v>
      </c>
      <c r="B676" s="2" t="s">
        <v>15</v>
      </c>
      <c r="C676" s="2" t="s">
        <v>16</v>
      </c>
      <c r="D676" s="2" t="str">
        <f>("068947")</f>
        <v>068947</v>
      </c>
      <c r="E676" s="2" t="str">
        <f>("622454689473")</f>
        <v>622454689473</v>
      </c>
      <c r="G676" s="2" t="s">
        <v>761</v>
      </c>
      <c r="H676" s="5">
        <v>8063</v>
      </c>
      <c r="I676" s="2" t="s">
        <v>18</v>
      </c>
      <c r="J676" s="3">
        <v>43013</v>
      </c>
      <c r="K676" s="2">
        <v>1.179</v>
      </c>
      <c r="L676" s="2">
        <v>2.5990000000000002</v>
      </c>
      <c r="N676" s="2" t="s">
        <v>688</v>
      </c>
    </row>
    <row r="677" spans="1:14" x14ac:dyDescent="0.3">
      <c r="A677" s="2" t="s">
        <v>14</v>
      </c>
      <c r="B677" s="2" t="s">
        <v>15</v>
      </c>
      <c r="C677" s="2" t="s">
        <v>16</v>
      </c>
      <c r="D677" s="2" t="str">
        <f>("068748")</f>
        <v>068748</v>
      </c>
      <c r="E677" s="2" t="str">
        <f>("622454687486")</f>
        <v>622454687486</v>
      </c>
      <c r="G677" s="2" t="s">
        <v>762</v>
      </c>
      <c r="H677" s="5">
        <v>15262.75</v>
      </c>
      <c r="I677" s="2" t="s">
        <v>18</v>
      </c>
      <c r="J677" s="3">
        <v>43013</v>
      </c>
      <c r="K677" s="2">
        <v>5.0000000000000001E-3</v>
      </c>
      <c r="L677" s="2">
        <v>1.0999999999999999E-2</v>
      </c>
      <c r="N677" s="2" t="s">
        <v>688</v>
      </c>
    </row>
    <row r="678" spans="1:14" x14ac:dyDescent="0.3">
      <c r="A678" s="2" t="s">
        <v>14</v>
      </c>
      <c r="B678" s="2" t="s">
        <v>15</v>
      </c>
      <c r="C678" s="2" t="s">
        <v>16</v>
      </c>
      <c r="D678" s="2" t="str">
        <f>("068848")</f>
        <v>068848</v>
      </c>
      <c r="E678" s="2" t="str">
        <f>("622454688483")</f>
        <v>622454688483</v>
      </c>
      <c r="G678" s="2" t="s">
        <v>763</v>
      </c>
      <c r="H678" s="5">
        <v>10686.39</v>
      </c>
      <c r="I678" s="2" t="s">
        <v>18</v>
      </c>
      <c r="J678" s="3">
        <v>43013</v>
      </c>
      <c r="K678" s="2">
        <v>2.0870000000000002</v>
      </c>
      <c r="L678" s="2">
        <v>4.601</v>
      </c>
      <c r="N678" s="2" t="s">
        <v>688</v>
      </c>
    </row>
    <row r="679" spans="1:14" x14ac:dyDescent="0.3">
      <c r="A679" s="2" t="s">
        <v>14</v>
      </c>
      <c r="B679" s="2" t="s">
        <v>15</v>
      </c>
      <c r="C679" s="2" t="s">
        <v>16</v>
      </c>
      <c r="D679" s="2" t="str">
        <f>("068948")</f>
        <v>068948</v>
      </c>
      <c r="E679" s="2" t="str">
        <f>("622454689480")</f>
        <v>622454689480</v>
      </c>
      <c r="G679" s="2" t="s">
        <v>764</v>
      </c>
      <c r="H679" s="5">
        <v>10540.65</v>
      </c>
      <c r="I679" s="2" t="s">
        <v>18</v>
      </c>
      <c r="J679" s="3">
        <v>43013</v>
      </c>
      <c r="K679" s="2">
        <v>1.4059999999999999</v>
      </c>
      <c r="L679" s="2">
        <v>3.1</v>
      </c>
      <c r="N679" s="2" t="s">
        <v>688</v>
      </c>
    </row>
    <row r="680" spans="1:14" x14ac:dyDescent="0.3">
      <c r="A680" s="2" t="s">
        <v>14</v>
      </c>
      <c r="B680" s="2" t="s">
        <v>15</v>
      </c>
      <c r="C680" s="2" t="s">
        <v>16</v>
      </c>
      <c r="D680" s="2" t="str">
        <f>("068749")</f>
        <v>068749</v>
      </c>
      <c r="E680" s="2" t="str">
        <f>("622454687493")</f>
        <v>622454687493</v>
      </c>
      <c r="G680" s="2" t="s">
        <v>765</v>
      </c>
      <c r="H680" s="5">
        <v>14569.91</v>
      </c>
      <c r="I680" s="2" t="s">
        <v>18</v>
      </c>
      <c r="J680" s="3">
        <v>43013</v>
      </c>
      <c r="K680" s="2">
        <v>5.73</v>
      </c>
      <c r="L680" s="2">
        <v>12.632</v>
      </c>
      <c r="N680" s="2" t="s">
        <v>688</v>
      </c>
    </row>
    <row r="681" spans="1:14" x14ac:dyDescent="0.3">
      <c r="A681" s="2" t="s">
        <v>14</v>
      </c>
      <c r="B681" s="2" t="s">
        <v>15</v>
      </c>
      <c r="C681" s="2" t="s">
        <v>16</v>
      </c>
      <c r="D681" s="2" t="str">
        <f>("068849")</f>
        <v>068849</v>
      </c>
      <c r="E681" s="2" t="str">
        <f>("622454688490")</f>
        <v>622454688490</v>
      </c>
      <c r="G681" s="2" t="s">
        <v>766</v>
      </c>
      <c r="H681" s="5">
        <v>13121.44</v>
      </c>
      <c r="I681" s="2" t="s">
        <v>18</v>
      </c>
      <c r="J681" s="3">
        <v>43013</v>
      </c>
      <c r="K681" s="2">
        <v>2.585</v>
      </c>
      <c r="L681" s="2">
        <v>5.6989999999999998</v>
      </c>
      <c r="N681" s="2" t="s">
        <v>688</v>
      </c>
    </row>
    <row r="682" spans="1:14" x14ac:dyDescent="0.3">
      <c r="A682" s="2" t="s">
        <v>14</v>
      </c>
      <c r="B682" s="2" t="s">
        <v>15</v>
      </c>
      <c r="C682" s="2" t="s">
        <v>16</v>
      </c>
      <c r="D682" s="2" t="str">
        <f>("068949")</f>
        <v>068949</v>
      </c>
      <c r="E682" s="2" t="str">
        <f>("622454689497")</f>
        <v>622454689497</v>
      </c>
      <c r="G682" s="2" t="s">
        <v>767</v>
      </c>
      <c r="H682" s="5">
        <v>12170.74</v>
      </c>
      <c r="I682" s="2" t="s">
        <v>18</v>
      </c>
      <c r="J682" s="3">
        <v>43013</v>
      </c>
      <c r="K682" s="2">
        <v>3.1190000000000002</v>
      </c>
      <c r="L682" s="2">
        <v>6.8760000000000003</v>
      </c>
      <c r="N682" s="2" t="s">
        <v>688</v>
      </c>
    </row>
    <row r="683" spans="1:14" x14ac:dyDescent="0.3">
      <c r="A683" s="2" t="s">
        <v>14</v>
      </c>
      <c r="B683" s="2" t="s">
        <v>15</v>
      </c>
      <c r="C683" s="2" t="s">
        <v>16</v>
      </c>
      <c r="D683" s="2" t="str">
        <f>("068519")</f>
        <v>068519</v>
      </c>
      <c r="E683" s="2" t="str">
        <f>("622454685192")</f>
        <v>622454685192</v>
      </c>
      <c r="G683" s="2" t="s">
        <v>768</v>
      </c>
      <c r="H683" s="5">
        <v>8327.58</v>
      </c>
      <c r="I683" s="2" t="s">
        <v>18</v>
      </c>
      <c r="J683" s="3">
        <v>43013</v>
      </c>
      <c r="K683" s="2">
        <v>1.5</v>
      </c>
      <c r="L683" s="2">
        <v>3.3069999999999999</v>
      </c>
      <c r="N683" s="2" t="s">
        <v>688</v>
      </c>
    </row>
    <row r="684" spans="1:14" x14ac:dyDescent="0.3">
      <c r="A684" s="2" t="s">
        <v>14</v>
      </c>
      <c r="B684" s="2" t="s">
        <v>15</v>
      </c>
      <c r="C684" s="2" t="s">
        <v>16</v>
      </c>
      <c r="D684" s="2" t="str">
        <f>("068751")</f>
        <v>068751</v>
      </c>
      <c r="E684" s="2" t="str">
        <f>("622454687516")</f>
        <v>622454687516</v>
      </c>
      <c r="G684" s="2" t="s">
        <v>769</v>
      </c>
      <c r="H684" s="5">
        <v>22289.85</v>
      </c>
      <c r="I684" s="2" t="s">
        <v>18</v>
      </c>
      <c r="J684" s="3">
        <v>43013</v>
      </c>
      <c r="K684" s="2">
        <v>7.26</v>
      </c>
      <c r="L684" s="2">
        <v>16.006</v>
      </c>
      <c r="N684" s="2" t="s">
        <v>688</v>
      </c>
    </row>
    <row r="685" spans="1:14" x14ac:dyDescent="0.3">
      <c r="A685" s="2" t="s">
        <v>14</v>
      </c>
      <c r="B685" s="2" t="s">
        <v>15</v>
      </c>
      <c r="C685" s="2" t="s">
        <v>16</v>
      </c>
      <c r="D685" s="2" t="str">
        <f>("068851")</f>
        <v>068851</v>
      </c>
      <c r="E685" s="2" t="str">
        <f>("622454688513")</f>
        <v>622454688513</v>
      </c>
      <c r="G685" s="2" t="s">
        <v>770</v>
      </c>
      <c r="H685" s="5">
        <v>18612.62</v>
      </c>
      <c r="I685" s="2" t="s">
        <v>18</v>
      </c>
      <c r="J685" s="3">
        <v>43013</v>
      </c>
      <c r="K685" s="2">
        <v>3.5379999999999998</v>
      </c>
      <c r="L685" s="2">
        <v>7.8</v>
      </c>
      <c r="N685" s="2" t="s">
        <v>688</v>
      </c>
    </row>
    <row r="686" spans="1:14" x14ac:dyDescent="0.3">
      <c r="A686" s="2" t="s">
        <v>14</v>
      </c>
      <c r="B686" s="2" t="s">
        <v>15</v>
      </c>
      <c r="C686" s="2" t="s">
        <v>16</v>
      </c>
      <c r="D686" s="2" t="str">
        <f>("068951")</f>
        <v>068951</v>
      </c>
      <c r="E686" s="2" t="str">
        <f>("622454689510")</f>
        <v>622454689510</v>
      </c>
      <c r="G686" s="2" t="s">
        <v>771</v>
      </c>
      <c r="H686" s="5">
        <v>18087.939999999999</v>
      </c>
      <c r="I686" s="2" t="s">
        <v>18</v>
      </c>
      <c r="J686" s="3">
        <v>43013</v>
      </c>
      <c r="K686" s="2">
        <v>2.4950000000000001</v>
      </c>
      <c r="L686" s="2">
        <v>5.5010000000000003</v>
      </c>
      <c r="N686" s="2" t="s">
        <v>688</v>
      </c>
    </row>
    <row r="687" spans="1:14" x14ac:dyDescent="0.3">
      <c r="A687" s="2" t="s">
        <v>14</v>
      </c>
      <c r="B687" s="2" t="s">
        <v>15</v>
      </c>
      <c r="C687" s="2" t="s">
        <v>16</v>
      </c>
      <c r="D687" s="2" t="str">
        <f>("068529")</f>
        <v>068529</v>
      </c>
      <c r="E687" s="2" t="str">
        <f>("622454685291")</f>
        <v>622454685291</v>
      </c>
      <c r="G687" s="2" t="s">
        <v>772</v>
      </c>
      <c r="H687" s="5">
        <v>11610.19</v>
      </c>
      <c r="I687" s="2" t="s">
        <v>18</v>
      </c>
      <c r="J687" s="3">
        <v>43013</v>
      </c>
      <c r="K687" s="2">
        <v>2</v>
      </c>
      <c r="L687" s="2">
        <v>4.4089999999999998</v>
      </c>
      <c r="N687" s="2" t="s">
        <v>688</v>
      </c>
    </row>
    <row r="688" spans="1:14" x14ac:dyDescent="0.3">
      <c r="A688" s="2" t="s">
        <v>14</v>
      </c>
      <c r="B688" s="2" t="s">
        <v>15</v>
      </c>
      <c r="C688" s="2" t="s">
        <v>16</v>
      </c>
      <c r="D688" s="2" t="str">
        <f>("068762")</f>
        <v>068762</v>
      </c>
      <c r="E688" s="2" t="str">
        <f>("622454687622")</f>
        <v>622454687622</v>
      </c>
      <c r="G688" s="2" t="s">
        <v>773</v>
      </c>
      <c r="H688" s="5">
        <v>3825.22</v>
      </c>
      <c r="I688" s="2" t="s">
        <v>18</v>
      </c>
      <c r="J688" s="3">
        <v>43013</v>
      </c>
      <c r="K688" s="2">
        <v>1.2869999999999999</v>
      </c>
      <c r="L688" s="2">
        <v>2.8370000000000002</v>
      </c>
      <c r="N688" s="2" t="s">
        <v>688</v>
      </c>
    </row>
    <row r="689" spans="1:14" x14ac:dyDescent="0.3">
      <c r="A689" s="2" t="s">
        <v>14</v>
      </c>
      <c r="B689" s="2" t="s">
        <v>15</v>
      </c>
      <c r="C689" s="2" t="s">
        <v>16</v>
      </c>
      <c r="D689" s="2" t="str">
        <f>("068862")</f>
        <v>068862</v>
      </c>
      <c r="E689" s="2" t="str">
        <f>("622454688629")</f>
        <v>622454688629</v>
      </c>
      <c r="G689" s="2" t="s">
        <v>774</v>
      </c>
      <c r="H689" s="5">
        <v>3280.36</v>
      </c>
      <c r="I689" s="2" t="s">
        <v>18</v>
      </c>
      <c r="J689" s="3">
        <v>43013</v>
      </c>
      <c r="K689" s="2">
        <v>0.68300000000000005</v>
      </c>
      <c r="L689" s="2">
        <v>1.506</v>
      </c>
      <c r="N689" s="2" t="s">
        <v>688</v>
      </c>
    </row>
    <row r="690" spans="1:14" x14ac:dyDescent="0.3">
      <c r="A690" s="2" t="s">
        <v>14</v>
      </c>
      <c r="B690" s="2" t="s">
        <v>15</v>
      </c>
      <c r="C690" s="2" t="s">
        <v>16</v>
      </c>
      <c r="D690" s="2" t="str">
        <f>("068962")</f>
        <v>068962</v>
      </c>
      <c r="E690" s="2" t="str">
        <f>("622454689626")</f>
        <v>622454689626</v>
      </c>
      <c r="G690" s="2" t="s">
        <v>775</v>
      </c>
      <c r="H690" s="5">
        <v>3284.84</v>
      </c>
      <c r="I690" s="2" t="s">
        <v>18</v>
      </c>
      <c r="J690" s="3">
        <v>43013</v>
      </c>
      <c r="K690" s="2">
        <v>0.27200000000000002</v>
      </c>
      <c r="L690" s="2">
        <v>0.6</v>
      </c>
      <c r="N690" s="2" t="s">
        <v>688</v>
      </c>
    </row>
    <row r="691" spans="1:14" x14ac:dyDescent="0.3">
      <c r="A691" s="2" t="s">
        <v>14</v>
      </c>
      <c r="B691" s="2" t="s">
        <v>15</v>
      </c>
      <c r="C691" s="2" t="s">
        <v>16</v>
      </c>
      <c r="D691" s="2" t="str">
        <f>("278228")</f>
        <v>278228</v>
      </c>
      <c r="E691" s="2" t="str">
        <f>("622454252561")</f>
        <v>622454252561</v>
      </c>
      <c r="G691" s="2" t="s">
        <v>776</v>
      </c>
      <c r="H691" s="5">
        <v>3022.51</v>
      </c>
      <c r="I691" s="2" t="s">
        <v>18</v>
      </c>
      <c r="J691" s="3">
        <v>43013</v>
      </c>
      <c r="K691" s="2">
        <v>0.22</v>
      </c>
      <c r="L691" s="2">
        <v>0.48499999999999999</v>
      </c>
      <c r="N691" s="2" t="s">
        <v>688</v>
      </c>
    </row>
    <row r="692" spans="1:14" x14ac:dyDescent="0.3">
      <c r="A692" s="2" t="s">
        <v>14</v>
      </c>
      <c r="B692" s="2" t="s">
        <v>15</v>
      </c>
      <c r="C692" s="2" t="s">
        <v>16</v>
      </c>
      <c r="D692" s="2" t="str">
        <f>("068763")</f>
        <v>068763</v>
      </c>
      <c r="E692" s="2" t="str">
        <f>("622454687639")</f>
        <v>622454687639</v>
      </c>
      <c r="G692" s="2" t="s">
        <v>777</v>
      </c>
      <c r="H692" s="5">
        <v>5181.76</v>
      </c>
      <c r="I692" s="2" t="s">
        <v>18</v>
      </c>
      <c r="J692" s="3">
        <v>43013</v>
      </c>
      <c r="K692" s="2">
        <v>0.91100000000000003</v>
      </c>
      <c r="L692" s="2">
        <v>2.008</v>
      </c>
      <c r="N692" s="2" t="s">
        <v>688</v>
      </c>
    </row>
    <row r="693" spans="1:14" x14ac:dyDescent="0.3">
      <c r="A693" s="2" t="s">
        <v>14</v>
      </c>
      <c r="B693" s="2" t="s">
        <v>15</v>
      </c>
      <c r="C693" s="2" t="s">
        <v>16</v>
      </c>
      <c r="D693" s="2" t="str">
        <f>("068863")</f>
        <v>068863</v>
      </c>
      <c r="E693" s="2" t="str">
        <f>("622454688636")</f>
        <v>622454688636</v>
      </c>
      <c r="G693" s="2" t="s">
        <v>778</v>
      </c>
      <c r="H693" s="5">
        <v>5347.68</v>
      </c>
      <c r="I693" s="2" t="s">
        <v>18</v>
      </c>
      <c r="J693" s="3">
        <v>43013</v>
      </c>
      <c r="K693" s="2">
        <v>0.54400000000000004</v>
      </c>
      <c r="L693" s="2">
        <v>1.1990000000000001</v>
      </c>
      <c r="N693" s="2" t="s">
        <v>688</v>
      </c>
    </row>
    <row r="694" spans="1:14" x14ac:dyDescent="0.3">
      <c r="A694" s="2" t="s">
        <v>14</v>
      </c>
      <c r="B694" s="2" t="s">
        <v>15</v>
      </c>
      <c r="C694" s="2" t="s">
        <v>16</v>
      </c>
      <c r="D694" s="2" t="str">
        <f>("068963")</f>
        <v>068963</v>
      </c>
      <c r="E694" s="2" t="str">
        <f>("622454689633")</f>
        <v>622454689633</v>
      </c>
      <c r="G694" s="2" t="s">
        <v>779</v>
      </c>
      <c r="H694" s="5">
        <v>4567.3900000000003</v>
      </c>
      <c r="I694" s="2" t="s">
        <v>18</v>
      </c>
      <c r="J694" s="3">
        <v>43013</v>
      </c>
      <c r="K694" s="2">
        <v>0.36299999999999999</v>
      </c>
      <c r="L694" s="2">
        <v>0.8</v>
      </c>
      <c r="N694" s="2" t="s">
        <v>688</v>
      </c>
    </row>
    <row r="695" spans="1:14" x14ac:dyDescent="0.3">
      <c r="A695" s="2" t="s">
        <v>14</v>
      </c>
      <c r="B695" s="2" t="s">
        <v>15</v>
      </c>
      <c r="C695" s="2" t="s">
        <v>16</v>
      </c>
      <c r="D695" s="2" t="str">
        <f>("068764")</f>
        <v>068764</v>
      </c>
      <c r="E695" s="2" t="str">
        <f>("622454687646")</f>
        <v>622454687646</v>
      </c>
      <c r="G695" s="2" t="s">
        <v>780</v>
      </c>
      <c r="H695" s="5">
        <v>5596.57</v>
      </c>
      <c r="I695" s="2" t="s">
        <v>18</v>
      </c>
      <c r="J695" s="3">
        <v>43013</v>
      </c>
      <c r="K695" s="2">
        <v>2.0030000000000001</v>
      </c>
      <c r="L695" s="2">
        <v>4.4160000000000004</v>
      </c>
      <c r="N695" s="2" t="s">
        <v>688</v>
      </c>
    </row>
    <row r="696" spans="1:14" x14ac:dyDescent="0.3">
      <c r="A696" s="2" t="s">
        <v>14</v>
      </c>
      <c r="B696" s="2" t="s">
        <v>15</v>
      </c>
      <c r="C696" s="2" t="s">
        <v>16</v>
      </c>
      <c r="D696" s="2" t="str">
        <f>("068864")</f>
        <v>068864</v>
      </c>
      <c r="E696" s="2" t="str">
        <f>("622454688643")</f>
        <v>622454688643</v>
      </c>
      <c r="G696" s="2" t="s">
        <v>781</v>
      </c>
      <c r="H696" s="5">
        <v>4643.63</v>
      </c>
      <c r="I696" s="2" t="s">
        <v>18</v>
      </c>
      <c r="J696" s="3">
        <v>43013</v>
      </c>
      <c r="K696" s="2">
        <v>0.63500000000000001</v>
      </c>
      <c r="L696" s="2">
        <v>1.4</v>
      </c>
      <c r="N696" s="2" t="s">
        <v>688</v>
      </c>
    </row>
    <row r="697" spans="1:14" x14ac:dyDescent="0.3">
      <c r="A697" s="2" t="s">
        <v>14</v>
      </c>
      <c r="B697" s="2" t="s">
        <v>15</v>
      </c>
      <c r="C697" s="2" t="s">
        <v>16</v>
      </c>
      <c r="D697" s="2" t="str">
        <f>("068964")</f>
        <v>068964</v>
      </c>
      <c r="E697" s="2" t="str">
        <f>("622454689640")</f>
        <v>622454689640</v>
      </c>
      <c r="G697" s="2" t="s">
        <v>782</v>
      </c>
      <c r="H697" s="5">
        <v>3403.68</v>
      </c>
      <c r="I697" s="2" t="s">
        <v>18</v>
      </c>
      <c r="J697" s="3">
        <v>43013</v>
      </c>
      <c r="K697" s="2">
        <v>0.45400000000000001</v>
      </c>
      <c r="L697" s="2">
        <v>1.0009999999999999</v>
      </c>
      <c r="N697" s="2" t="s">
        <v>688</v>
      </c>
    </row>
    <row r="698" spans="1:14" x14ac:dyDescent="0.3">
      <c r="A698" s="2" t="s">
        <v>14</v>
      </c>
      <c r="B698" s="2" t="s">
        <v>15</v>
      </c>
      <c r="C698" s="2" t="s">
        <v>16</v>
      </c>
      <c r="D698" s="2" t="str">
        <f>("068765")</f>
        <v>068765</v>
      </c>
      <c r="E698" s="2" t="str">
        <f>("622454687653")</f>
        <v>622454687653</v>
      </c>
      <c r="G698" s="2" t="s">
        <v>783</v>
      </c>
      <c r="H698" s="5">
        <v>5840.97</v>
      </c>
      <c r="I698" s="2" t="s">
        <v>18</v>
      </c>
      <c r="J698" s="3">
        <v>43013</v>
      </c>
      <c r="K698" s="2">
        <v>1.643</v>
      </c>
      <c r="L698" s="2">
        <v>3.6219999999999999</v>
      </c>
      <c r="N698" s="2" t="s">
        <v>688</v>
      </c>
    </row>
    <row r="699" spans="1:14" x14ac:dyDescent="0.3">
      <c r="A699" s="2" t="s">
        <v>14</v>
      </c>
      <c r="B699" s="2" t="s">
        <v>15</v>
      </c>
      <c r="C699" s="2" t="s">
        <v>16</v>
      </c>
      <c r="D699" s="2" t="str">
        <f>("068865")</f>
        <v>068865</v>
      </c>
      <c r="E699" s="2" t="str">
        <f>("622454688650")</f>
        <v>622454688650</v>
      </c>
      <c r="G699" s="2" t="s">
        <v>784</v>
      </c>
      <c r="H699" s="5">
        <v>4975.47</v>
      </c>
      <c r="I699" s="2" t="s">
        <v>18</v>
      </c>
      <c r="J699" s="3">
        <v>43013</v>
      </c>
      <c r="K699" s="2">
        <v>0.94</v>
      </c>
      <c r="L699" s="2">
        <v>2.0720000000000001</v>
      </c>
      <c r="N699" s="2" t="s">
        <v>688</v>
      </c>
    </row>
    <row r="700" spans="1:14" x14ac:dyDescent="0.3">
      <c r="A700" s="2" t="s">
        <v>14</v>
      </c>
      <c r="B700" s="2" t="s">
        <v>15</v>
      </c>
      <c r="C700" s="2" t="s">
        <v>16</v>
      </c>
      <c r="D700" s="2" t="str">
        <f>("068965")</f>
        <v>068965</v>
      </c>
      <c r="E700" s="2" t="str">
        <f>("622454689657")</f>
        <v>622454689657</v>
      </c>
      <c r="G700" s="2" t="s">
        <v>785</v>
      </c>
      <c r="H700" s="5">
        <v>4053.92</v>
      </c>
      <c r="I700" s="2" t="s">
        <v>18</v>
      </c>
      <c r="J700" s="3">
        <v>43013</v>
      </c>
      <c r="K700" s="2">
        <v>1.1020000000000001</v>
      </c>
      <c r="L700" s="2">
        <v>2.4289999999999998</v>
      </c>
      <c r="N700" s="2" t="s">
        <v>688</v>
      </c>
    </row>
    <row r="701" spans="1:14" x14ac:dyDescent="0.3">
      <c r="A701" s="2" t="s">
        <v>14</v>
      </c>
      <c r="B701" s="2" t="s">
        <v>15</v>
      </c>
      <c r="C701" s="2" t="s">
        <v>16</v>
      </c>
      <c r="D701" s="2" t="str">
        <f>("068515")</f>
        <v>068515</v>
      </c>
      <c r="E701" s="2" t="str">
        <f>("622454685154")</f>
        <v>622454685154</v>
      </c>
      <c r="G701" s="2" t="s">
        <v>786</v>
      </c>
      <c r="H701" s="5">
        <v>3793.83</v>
      </c>
      <c r="I701" s="2" t="s">
        <v>18</v>
      </c>
      <c r="J701" s="3">
        <v>43013</v>
      </c>
      <c r="K701" s="2">
        <v>0.83899999999999997</v>
      </c>
      <c r="L701" s="2">
        <v>1.85</v>
      </c>
      <c r="N701" s="2" t="s">
        <v>688</v>
      </c>
    </row>
    <row r="702" spans="1:14" x14ac:dyDescent="0.3">
      <c r="A702" s="2" t="s">
        <v>14</v>
      </c>
      <c r="B702" s="2" t="s">
        <v>15</v>
      </c>
      <c r="C702" s="2" t="s">
        <v>16</v>
      </c>
      <c r="D702" s="2" t="str">
        <f>("068766")</f>
        <v>068766</v>
      </c>
      <c r="E702" s="2" t="str">
        <f>("622454687660")</f>
        <v>622454687660</v>
      </c>
      <c r="G702" s="2" t="s">
        <v>787</v>
      </c>
      <c r="H702" s="5">
        <v>8971.1</v>
      </c>
      <c r="I702" s="2" t="s">
        <v>18</v>
      </c>
      <c r="J702" s="3">
        <v>43013</v>
      </c>
      <c r="K702" s="2">
        <v>4.5</v>
      </c>
      <c r="L702" s="2">
        <v>9.9209999999999994</v>
      </c>
      <c r="N702" s="2" t="s">
        <v>688</v>
      </c>
    </row>
    <row r="703" spans="1:14" x14ac:dyDescent="0.3">
      <c r="A703" s="2" t="s">
        <v>14</v>
      </c>
      <c r="B703" s="2" t="s">
        <v>15</v>
      </c>
      <c r="C703" s="2" t="s">
        <v>16</v>
      </c>
      <c r="D703" s="2" t="str">
        <f>("068866")</f>
        <v>068866</v>
      </c>
      <c r="E703" s="2" t="str">
        <f>("622454688667")</f>
        <v>622454688667</v>
      </c>
      <c r="G703" s="2" t="s">
        <v>788</v>
      </c>
      <c r="H703" s="5">
        <v>6670.59</v>
      </c>
      <c r="I703" s="2" t="s">
        <v>18</v>
      </c>
      <c r="J703" s="3">
        <v>43013</v>
      </c>
      <c r="K703" s="2">
        <v>2.266</v>
      </c>
      <c r="L703" s="2">
        <v>4.9960000000000004</v>
      </c>
      <c r="N703" s="2" t="s">
        <v>688</v>
      </c>
    </row>
    <row r="704" spans="1:14" x14ac:dyDescent="0.3">
      <c r="A704" s="2" t="s">
        <v>14</v>
      </c>
      <c r="B704" s="2" t="s">
        <v>15</v>
      </c>
      <c r="C704" s="2" t="s">
        <v>16</v>
      </c>
      <c r="D704" s="2" t="str">
        <f>("068966")</f>
        <v>068966</v>
      </c>
      <c r="E704" s="2" t="str">
        <f>("622454689664")</f>
        <v>622454689664</v>
      </c>
      <c r="G704" s="2" t="s">
        <v>789</v>
      </c>
      <c r="H704" s="5">
        <v>6659.38</v>
      </c>
      <c r="I704" s="2" t="s">
        <v>18</v>
      </c>
      <c r="J704" s="3">
        <v>43013</v>
      </c>
      <c r="K704" s="2">
        <v>0.998</v>
      </c>
      <c r="L704" s="2">
        <v>2.2000000000000002</v>
      </c>
      <c r="N704" s="2" t="s">
        <v>688</v>
      </c>
    </row>
    <row r="705" spans="1:14" x14ac:dyDescent="0.3">
      <c r="A705" s="2" t="s">
        <v>14</v>
      </c>
      <c r="B705" s="2" t="s">
        <v>15</v>
      </c>
      <c r="C705" s="2" t="s">
        <v>16</v>
      </c>
      <c r="D705" s="2" t="str">
        <f>("278229")</f>
        <v>278229</v>
      </c>
      <c r="E705" s="2" t="str">
        <f>("622454405905")</f>
        <v>622454405905</v>
      </c>
      <c r="G705" s="2" t="s">
        <v>790</v>
      </c>
      <c r="H705" s="5">
        <v>6659.38</v>
      </c>
      <c r="I705" s="2" t="s">
        <v>18</v>
      </c>
      <c r="J705" s="3">
        <v>43013</v>
      </c>
      <c r="K705" s="2">
        <v>0.91</v>
      </c>
      <c r="L705" s="2">
        <v>2.0059999999999998</v>
      </c>
      <c r="N705" s="2" t="s">
        <v>688</v>
      </c>
    </row>
    <row r="706" spans="1:14" x14ac:dyDescent="0.3">
      <c r="A706" s="2" t="s">
        <v>14</v>
      </c>
      <c r="B706" s="2" t="s">
        <v>15</v>
      </c>
      <c r="C706" s="2" t="s">
        <v>16</v>
      </c>
      <c r="D706" s="2" t="str">
        <f>("068767")</f>
        <v>068767</v>
      </c>
      <c r="E706" s="2" t="str">
        <f>("622454687677")</f>
        <v>622454687677</v>
      </c>
      <c r="G706" s="2" t="s">
        <v>791</v>
      </c>
      <c r="H706" s="5">
        <v>11650.55</v>
      </c>
      <c r="I706" s="2" t="s">
        <v>18</v>
      </c>
      <c r="J706" s="3">
        <v>43013</v>
      </c>
      <c r="K706" s="2">
        <v>3.6190000000000002</v>
      </c>
      <c r="L706" s="2">
        <v>7.9790000000000001</v>
      </c>
      <c r="N706" s="2" t="s">
        <v>688</v>
      </c>
    </row>
    <row r="707" spans="1:14" x14ac:dyDescent="0.3">
      <c r="A707" s="2" t="s">
        <v>14</v>
      </c>
      <c r="B707" s="2" t="s">
        <v>15</v>
      </c>
      <c r="C707" s="2" t="s">
        <v>16</v>
      </c>
      <c r="D707" s="2" t="str">
        <f>("068867")</f>
        <v>068867</v>
      </c>
      <c r="E707" s="2" t="str">
        <f>("622454688674")</f>
        <v>622454688674</v>
      </c>
      <c r="G707" s="2" t="s">
        <v>792</v>
      </c>
      <c r="H707" s="5">
        <v>9219.99</v>
      </c>
      <c r="I707" s="2" t="s">
        <v>18</v>
      </c>
      <c r="J707" s="3">
        <v>43013</v>
      </c>
      <c r="K707" s="2">
        <v>3.3180000000000001</v>
      </c>
      <c r="L707" s="2">
        <v>7.3150000000000004</v>
      </c>
      <c r="N707" s="2" t="s">
        <v>688</v>
      </c>
    </row>
    <row r="708" spans="1:14" x14ac:dyDescent="0.3">
      <c r="A708" s="2" t="s">
        <v>14</v>
      </c>
      <c r="B708" s="2" t="s">
        <v>15</v>
      </c>
      <c r="C708" s="2" t="s">
        <v>16</v>
      </c>
      <c r="D708" s="2" t="str">
        <f>("068967")</f>
        <v>068967</v>
      </c>
      <c r="E708" s="2" t="str">
        <f>("622454689671")</f>
        <v>622454689671</v>
      </c>
      <c r="G708" s="2" t="s">
        <v>793</v>
      </c>
      <c r="H708" s="5">
        <v>8403.82</v>
      </c>
      <c r="I708" s="2" t="s">
        <v>18</v>
      </c>
      <c r="J708" s="3">
        <v>43013</v>
      </c>
      <c r="K708" s="2">
        <v>2.105</v>
      </c>
      <c r="L708" s="2">
        <v>4.641</v>
      </c>
      <c r="N708" s="2" t="s">
        <v>688</v>
      </c>
    </row>
    <row r="709" spans="1:14" x14ac:dyDescent="0.3">
      <c r="A709" s="2" t="s">
        <v>14</v>
      </c>
      <c r="B709" s="2" t="s">
        <v>15</v>
      </c>
      <c r="C709" s="2" t="s">
        <v>16</v>
      </c>
      <c r="D709" s="2" t="str">
        <f>("068517")</f>
        <v>068517</v>
      </c>
      <c r="E709" s="2" t="str">
        <f>("622454685178")</f>
        <v>622454685178</v>
      </c>
      <c r="G709" s="2" t="s">
        <v>794</v>
      </c>
      <c r="H709" s="5">
        <v>6376.86</v>
      </c>
      <c r="I709" s="2" t="s">
        <v>18</v>
      </c>
      <c r="J709" s="3">
        <v>43013</v>
      </c>
      <c r="K709" s="2">
        <v>0.95399999999999996</v>
      </c>
      <c r="L709" s="2">
        <v>2.1030000000000002</v>
      </c>
      <c r="N709" s="2" t="s">
        <v>688</v>
      </c>
    </row>
    <row r="710" spans="1:14" x14ac:dyDescent="0.3">
      <c r="A710" s="2" t="s">
        <v>14</v>
      </c>
      <c r="B710" s="2" t="s">
        <v>15</v>
      </c>
      <c r="C710" s="2" t="s">
        <v>16</v>
      </c>
      <c r="D710" s="2" t="str">
        <f>("068768")</f>
        <v>068768</v>
      </c>
      <c r="E710" s="2" t="str">
        <f>("622454687684")</f>
        <v>622454687684</v>
      </c>
      <c r="G710" s="2" t="s">
        <v>795</v>
      </c>
      <c r="H710" s="5">
        <v>15262.75</v>
      </c>
      <c r="I710" s="2" t="s">
        <v>18</v>
      </c>
      <c r="J710" s="3">
        <v>43013</v>
      </c>
      <c r="K710" s="2">
        <v>7.6440000000000001</v>
      </c>
      <c r="L710" s="2">
        <v>16.852</v>
      </c>
      <c r="N710" s="2" t="s">
        <v>688</v>
      </c>
    </row>
    <row r="711" spans="1:14" x14ac:dyDescent="0.3">
      <c r="A711" s="2" t="s">
        <v>14</v>
      </c>
      <c r="B711" s="2" t="s">
        <v>15</v>
      </c>
      <c r="C711" s="2" t="s">
        <v>16</v>
      </c>
      <c r="D711" s="2" t="str">
        <f>("068868")</f>
        <v>068868</v>
      </c>
      <c r="E711" s="2" t="str">
        <f>("622454688681")</f>
        <v>622454688681</v>
      </c>
      <c r="G711" s="2" t="s">
        <v>796</v>
      </c>
      <c r="H711" s="5">
        <v>10800.75</v>
      </c>
      <c r="I711" s="2" t="s">
        <v>18</v>
      </c>
      <c r="J711" s="3">
        <v>43013</v>
      </c>
      <c r="K711" s="2">
        <v>2.2229999999999999</v>
      </c>
      <c r="L711" s="2">
        <v>4.9009999999999998</v>
      </c>
      <c r="N711" s="2" t="s">
        <v>688</v>
      </c>
    </row>
    <row r="712" spans="1:14" x14ac:dyDescent="0.3">
      <c r="A712" s="2" t="s">
        <v>14</v>
      </c>
      <c r="B712" s="2" t="s">
        <v>15</v>
      </c>
      <c r="C712" s="2" t="s">
        <v>16</v>
      </c>
      <c r="D712" s="2" t="str">
        <f>("068968")</f>
        <v>068968</v>
      </c>
      <c r="E712" s="2" t="str">
        <f>("622454689688")</f>
        <v>622454689688</v>
      </c>
      <c r="G712" s="2" t="s">
        <v>797</v>
      </c>
      <c r="H712" s="5">
        <v>11231.25</v>
      </c>
      <c r="I712" s="2" t="s">
        <v>18</v>
      </c>
      <c r="J712" s="3">
        <v>43013</v>
      </c>
      <c r="K712" s="2">
        <v>1.542</v>
      </c>
      <c r="L712" s="2">
        <v>3.4</v>
      </c>
      <c r="N712" s="2" t="s">
        <v>688</v>
      </c>
    </row>
    <row r="713" spans="1:14" x14ac:dyDescent="0.3">
      <c r="A713" s="2" t="s">
        <v>14</v>
      </c>
      <c r="B713" s="2" t="s">
        <v>15</v>
      </c>
      <c r="C713" s="2" t="s">
        <v>16</v>
      </c>
      <c r="D713" s="2" t="str">
        <f>("068769")</f>
        <v>068769</v>
      </c>
      <c r="E713" s="2" t="str">
        <f>("622454687691")</f>
        <v>622454687691</v>
      </c>
      <c r="G713" s="2" t="s">
        <v>798</v>
      </c>
      <c r="H713" s="5">
        <v>16657.41</v>
      </c>
      <c r="I713" s="2" t="s">
        <v>18</v>
      </c>
      <c r="J713" s="3">
        <v>43013</v>
      </c>
      <c r="K713" s="2">
        <v>5.73</v>
      </c>
      <c r="L713" s="2">
        <v>12.632</v>
      </c>
      <c r="N713" s="2" t="s">
        <v>688</v>
      </c>
    </row>
    <row r="714" spans="1:14" x14ac:dyDescent="0.3">
      <c r="A714" s="2" t="s">
        <v>14</v>
      </c>
      <c r="B714" s="2" t="s">
        <v>15</v>
      </c>
      <c r="C714" s="2" t="s">
        <v>16</v>
      </c>
      <c r="D714" s="2" t="str">
        <f>("068869")</f>
        <v>068869</v>
      </c>
      <c r="E714" s="2" t="str">
        <f>("622454688698")</f>
        <v>622454688698</v>
      </c>
      <c r="G714" s="2" t="s">
        <v>799</v>
      </c>
      <c r="H714" s="5">
        <v>13522.8</v>
      </c>
      <c r="I714" s="2" t="s">
        <v>18</v>
      </c>
      <c r="J714" s="3">
        <v>43013</v>
      </c>
      <c r="K714" s="2">
        <v>3.4350000000000001</v>
      </c>
      <c r="L714" s="2">
        <v>7.5730000000000004</v>
      </c>
      <c r="N714" s="2" t="s">
        <v>688</v>
      </c>
    </row>
    <row r="715" spans="1:14" x14ac:dyDescent="0.3">
      <c r="A715" s="2" t="s">
        <v>14</v>
      </c>
      <c r="B715" s="2" t="s">
        <v>15</v>
      </c>
      <c r="C715" s="2" t="s">
        <v>16</v>
      </c>
      <c r="D715" s="2" t="str">
        <f>("068969")</f>
        <v>068969</v>
      </c>
      <c r="E715" s="2" t="str">
        <f>("622454689695")</f>
        <v>622454689695</v>
      </c>
      <c r="G715" s="2" t="s">
        <v>800</v>
      </c>
      <c r="H715" s="5">
        <v>12755.96</v>
      </c>
      <c r="I715" s="2" t="s">
        <v>18</v>
      </c>
      <c r="J715" s="3">
        <v>43013</v>
      </c>
      <c r="K715" s="2">
        <v>2.82</v>
      </c>
      <c r="L715" s="2">
        <v>6.2169999999999996</v>
      </c>
      <c r="N715" s="2" t="s">
        <v>688</v>
      </c>
    </row>
    <row r="716" spans="1:14" x14ac:dyDescent="0.3">
      <c r="A716" s="2" t="s">
        <v>14</v>
      </c>
      <c r="B716" s="2" t="s">
        <v>15</v>
      </c>
      <c r="C716" s="2" t="s">
        <v>16</v>
      </c>
      <c r="D716" s="2" t="str">
        <f>("068520")</f>
        <v>068520</v>
      </c>
      <c r="E716" s="2" t="str">
        <f>("622454685208")</f>
        <v>622454685208</v>
      </c>
      <c r="G716" s="2" t="s">
        <v>801</v>
      </c>
      <c r="H716" s="5">
        <v>8464.36</v>
      </c>
      <c r="I716" s="2" t="s">
        <v>18</v>
      </c>
      <c r="J716" s="3">
        <v>43013</v>
      </c>
      <c r="K716" s="2">
        <v>3.056</v>
      </c>
      <c r="L716" s="2">
        <v>6.7370000000000001</v>
      </c>
      <c r="N716" s="2" t="s">
        <v>688</v>
      </c>
    </row>
    <row r="717" spans="1:14" x14ac:dyDescent="0.3">
      <c r="A717" s="2" t="s">
        <v>14</v>
      </c>
      <c r="B717" s="2" t="s">
        <v>15</v>
      </c>
      <c r="C717" s="2" t="s">
        <v>16</v>
      </c>
      <c r="D717" s="2" t="str">
        <f>("068771")</f>
        <v>068771</v>
      </c>
      <c r="E717" s="2" t="str">
        <f>("622454687714")</f>
        <v>622454687714</v>
      </c>
      <c r="G717" s="2" t="s">
        <v>802</v>
      </c>
      <c r="H717" s="5">
        <v>24967.06</v>
      </c>
      <c r="I717" s="2" t="s">
        <v>18</v>
      </c>
      <c r="J717" s="3">
        <v>43013</v>
      </c>
      <c r="K717" s="2">
        <v>7.899</v>
      </c>
      <c r="L717" s="2">
        <v>17.414000000000001</v>
      </c>
      <c r="N717" s="2" t="s">
        <v>688</v>
      </c>
    </row>
    <row r="718" spans="1:14" x14ac:dyDescent="0.3">
      <c r="A718" s="2" t="s">
        <v>14</v>
      </c>
      <c r="B718" s="2" t="s">
        <v>15</v>
      </c>
      <c r="C718" s="2" t="s">
        <v>16</v>
      </c>
      <c r="D718" s="2" t="str">
        <f>("068871")</f>
        <v>068871</v>
      </c>
      <c r="E718" s="2" t="str">
        <f>("622454688711")</f>
        <v>622454688711</v>
      </c>
      <c r="G718" s="2" t="s">
        <v>803</v>
      </c>
      <c r="H718" s="5">
        <v>19383.939999999999</v>
      </c>
      <c r="I718" s="2" t="s">
        <v>18</v>
      </c>
      <c r="J718" s="3">
        <v>43013</v>
      </c>
      <c r="K718" s="2">
        <v>6.29</v>
      </c>
      <c r="L718" s="2">
        <v>13.867000000000001</v>
      </c>
      <c r="N718" s="2" t="s">
        <v>688</v>
      </c>
    </row>
    <row r="719" spans="1:14" x14ac:dyDescent="0.3">
      <c r="A719" s="2" t="s">
        <v>14</v>
      </c>
      <c r="B719" s="2" t="s">
        <v>15</v>
      </c>
      <c r="C719" s="2" t="s">
        <v>16</v>
      </c>
      <c r="D719" s="2" t="str">
        <f>("068971")</f>
        <v>068971</v>
      </c>
      <c r="E719" s="2" t="str">
        <f>("622454689718")</f>
        <v>622454689718</v>
      </c>
      <c r="G719" s="2" t="s">
        <v>804</v>
      </c>
      <c r="H719" s="5">
        <v>18796.48</v>
      </c>
      <c r="I719" s="2" t="s">
        <v>18</v>
      </c>
      <c r="J719" s="3">
        <v>43013</v>
      </c>
      <c r="K719" s="2">
        <v>3.3559999999999999</v>
      </c>
      <c r="L719" s="2">
        <v>7.399</v>
      </c>
      <c r="N719" s="2" t="s">
        <v>688</v>
      </c>
    </row>
    <row r="720" spans="1:14" x14ac:dyDescent="0.3">
      <c r="A720" s="2" t="s">
        <v>14</v>
      </c>
      <c r="B720" s="2" t="s">
        <v>15</v>
      </c>
      <c r="C720" s="2" t="s">
        <v>16</v>
      </c>
      <c r="D720" s="2" t="str">
        <f>("068522")</f>
        <v>068522</v>
      </c>
      <c r="E720" s="2" t="str">
        <f>("622454685222")</f>
        <v>622454685222</v>
      </c>
      <c r="G720" s="2" t="s">
        <v>805</v>
      </c>
      <c r="H720" s="5">
        <v>11944.28</v>
      </c>
      <c r="I720" s="2" t="s">
        <v>18</v>
      </c>
      <c r="J720" s="3">
        <v>43013</v>
      </c>
      <c r="K720" s="2">
        <v>3.4670000000000001</v>
      </c>
      <c r="L720" s="2">
        <v>7.6429999999999998</v>
      </c>
      <c r="N720" s="2" t="s">
        <v>688</v>
      </c>
    </row>
    <row r="721" spans="1:14" x14ac:dyDescent="0.3">
      <c r="A721" s="2" t="s">
        <v>14</v>
      </c>
      <c r="B721" s="2" t="s">
        <v>15</v>
      </c>
      <c r="C721" s="2" t="s">
        <v>16</v>
      </c>
      <c r="D721" s="2" t="str">
        <f>("068772")</f>
        <v>068772</v>
      </c>
      <c r="E721" s="2" t="str">
        <f>("622454687721")</f>
        <v>622454687721</v>
      </c>
      <c r="G721" s="2" t="s">
        <v>806</v>
      </c>
      <c r="H721" s="5">
        <v>36684.870000000003</v>
      </c>
      <c r="I721" s="2" t="s">
        <v>18</v>
      </c>
      <c r="J721" s="3">
        <v>43013</v>
      </c>
      <c r="K721" s="2">
        <v>11.321999999999999</v>
      </c>
      <c r="L721" s="2">
        <v>24.960999999999999</v>
      </c>
      <c r="N721" s="2" t="s">
        <v>688</v>
      </c>
    </row>
    <row r="722" spans="1:14" x14ac:dyDescent="0.3">
      <c r="A722" s="2" t="s">
        <v>14</v>
      </c>
      <c r="B722" s="2" t="s">
        <v>15</v>
      </c>
      <c r="C722" s="2" t="s">
        <v>16</v>
      </c>
      <c r="D722" s="2" t="str">
        <f>("068872")</f>
        <v>068872</v>
      </c>
      <c r="E722" s="2" t="str">
        <f>("622454688728")</f>
        <v>622454688728</v>
      </c>
      <c r="G722" s="2" t="s">
        <v>807</v>
      </c>
      <c r="H722" s="5">
        <v>27092.68</v>
      </c>
      <c r="I722" s="2" t="s">
        <v>18</v>
      </c>
      <c r="J722" s="3">
        <v>43013</v>
      </c>
      <c r="K722" s="2">
        <v>13.382</v>
      </c>
      <c r="L722" s="2">
        <v>29.501999999999999</v>
      </c>
      <c r="N722" s="2" t="s">
        <v>688</v>
      </c>
    </row>
    <row r="723" spans="1:14" x14ac:dyDescent="0.3">
      <c r="A723" s="2" t="s">
        <v>14</v>
      </c>
      <c r="B723" s="2" t="s">
        <v>15</v>
      </c>
      <c r="C723" s="2" t="s">
        <v>16</v>
      </c>
      <c r="D723" s="2" t="str">
        <f>("068972")</f>
        <v>068972</v>
      </c>
      <c r="E723" s="2" t="str">
        <f>("622454689725")</f>
        <v>622454689725</v>
      </c>
      <c r="G723" s="2" t="s">
        <v>808</v>
      </c>
      <c r="H723" s="5">
        <v>23000.639999999999</v>
      </c>
      <c r="I723" s="2" t="s">
        <v>18</v>
      </c>
      <c r="J723" s="3">
        <v>43013</v>
      </c>
      <c r="K723" s="2">
        <v>3.5830000000000002</v>
      </c>
      <c r="L723" s="2">
        <v>7.899</v>
      </c>
      <c r="N723" s="2" t="s">
        <v>688</v>
      </c>
    </row>
    <row r="724" spans="1:14" x14ac:dyDescent="0.3">
      <c r="A724" s="2" t="s">
        <v>14</v>
      </c>
      <c r="B724" s="2" t="s">
        <v>15</v>
      </c>
      <c r="C724" s="2" t="s">
        <v>16</v>
      </c>
      <c r="D724" s="2" t="str">
        <f>("068528")</f>
        <v>068528</v>
      </c>
      <c r="E724" s="2" t="str">
        <f>("622454685284")</f>
        <v>622454685284</v>
      </c>
      <c r="G724" s="2" t="s">
        <v>809</v>
      </c>
      <c r="H724" s="5">
        <v>16143.94</v>
      </c>
      <c r="I724" s="2" t="s">
        <v>18</v>
      </c>
      <c r="J724" s="3">
        <v>43013</v>
      </c>
      <c r="K724" s="2">
        <v>5.2039999999999997</v>
      </c>
      <c r="L724" s="2">
        <v>11.473000000000001</v>
      </c>
      <c r="N724" s="2" t="s">
        <v>688</v>
      </c>
    </row>
    <row r="725" spans="1:14" x14ac:dyDescent="0.3">
      <c r="A725" s="2" t="s">
        <v>14</v>
      </c>
      <c r="B725" s="2" t="s">
        <v>15</v>
      </c>
      <c r="C725" s="2" t="s">
        <v>16</v>
      </c>
      <c r="D725" s="2" t="str">
        <f>("068782")</f>
        <v>068782</v>
      </c>
      <c r="E725" s="2" t="str">
        <f>("622454687820")</f>
        <v>622454687820</v>
      </c>
      <c r="G725" s="2" t="s">
        <v>810</v>
      </c>
      <c r="H725" s="5">
        <v>4796.1000000000004</v>
      </c>
      <c r="I725" s="2" t="s">
        <v>18</v>
      </c>
      <c r="J725" s="3">
        <v>43013</v>
      </c>
      <c r="K725" s="2">
        <v>1.365</v>
      </c>
      <c r="L725" s="2">
        <v>3.0089999999999999</v>
      </c>
      <c r="N725" s="2" t="s">
        <v>688</v>
      </c>
    </row>
    <row r="726" spans="1:14" x14ac:dyDescent="0.3">
      <c r="A726" s="2" t="s">
        <v>14</v>
      </c>
      <c r="B726" s="2" t="s">
        <v>15</v>
      </c>
      <c r="C726" s="2" t="s">
        <v>16</v>
      </c>
      <c r="D726" s="2" t="str">
        <f>("068882")</f>
        <v>068882</v>
      </c>
      <c r="E726" s="2" t="str">
        <f>("622454688827")</f>
        <v>622454688827</v>
      </c>
      <c r="G726" s="2" t="s">
        <v>811</v>
      </c>
      <c r="H726" s="5">
        <v>4919.42</v>
      </c>
      <c r="I726" s="2" t="s">
        <v>18</v>
      </c>
      <c r="J726" s="3">
        <v>43013</v>
      </c>
      <c r="K726" s="2">
        <v>0.499</v>
      </c>
      <c r="L726" s="2">
        <v>1.1000000000000001</v>
      </c>
      <c r="N726" s="2" t="s">
        <v>688</v>
      </c>
    </row>
    <row r="727" spans="1:14" x14ac:dyDescent="0.3">
      <c r="A727" s="2" t="s">
        <v>14</v>
      </c>
      <c r="B727" s="2" t="s">
        <v>15</v>
      </c>
      <c r="C727" s="2" t="s">
        <v>16</v>
      </c>
      <c r="D727" s="2" t="str">
        <f>("068982")</f>
        <v>068982</v>
      </c>
      <c r="E727" s="2" t="str">
        <f>("622454689824")</f>
        <v>622454689824</v>
      </c>
      <c r="G727" s="2" t="s">
        <v>812</v>
      </c>
      <c r="H727" s="5">
        <v>3917.15</v>
      </c>
      <c r="I727" s="2" t="s">
        <v>18</v>
      </c>
      <c r="J727" s="3">
        <v>43013</v>
      </c>
      <c r="K727" s="2">
        <v>0.36299999999999999</v>
      </c>
      <c r="L727" s="2">
        <v>0.8</v>
      </c>
      <c r="N727" s="2" t="s">
        <v>688</v>
      </c>
    </row>
    <row r="728" spans="1:14" x14ac:dyDescent="0.3">
      <c r="A728" s="2" t="s">
        <v>14</v>
      </c>
      <c r="B728" s="2" t="s">
        <v>15</v>
      </c>
      <c r="C728" s="2" t="s">
        <v>16</v>
      </c>
      <c r="D728" s="2" t="str">
        <f>("068783")</f>
        <v>068783</v>
      </c>
      <c r="E728" s="2" t="str">
        <f>("622454687837")</f>
        <v>622454687837</v>
      </c>
      <c r="G728" s="2" t="s">
        <v>813</v>
      </c>
      <c r="H728" s="5">
        <v>6327.53</v>
      </c>
      <c r="I728" s="2" t="s">
        <v>18</v>
      </c>
      <c r="J728" s="3">
        <v>43013</v>
      </c>
      <c r="K728" s="2">
        <v>2.0169999999999999</v>
      </c>
      <c r="L728" s="2">
        <v>4.4470000000000001</v>
      </c>
      <c r="N728" s="2" t="s">
        <v>688</v>
      </c>
    </row>
    <row r="729" spans="1:14" x14ac:dyDescent="0.3">
      <c r="A729" s="2" t="s">
        <v>14</v>
      </c>
      <c r="B729" s="2" t="s">
        <v>15</v>
      </c>
      <c r="C729" s="2" t="s">
        <v>16</v>
      </c>
      <c r="D729" s="2" t="str">
        <f>("068883")</f>
        <v>068883</v>
      </c>
      <c r="E729" s="2" t="str">
        <f>("622454001350")</f>
        <v>622454001350</v>
      </c>
      <c r="G729" s="2" t="s">
        <v>814</v>
      </c>
      <c r="H729" s="5">
        <v>4275.8999999999996</v>
      </c>
      <c r="I729" s="2" t="s">
        <v>18</v>
      </c>
      <c r="J729" s="3">
        <v>43013</v>
      </c>
      <c r="K729" s="2">
        <v>0.68</v>
      </c>
      <c r="L729" s="2">
        <v>1.4990000000000001</v>
      </c>
      <c r="N729" s="2" t="s">
        <v>688</v>
      </c>
    </row>
    <row r="730" spans="1:14" x14ac:dyDescent="0.3">
      <c r="A730" s="2" t="s">
        <v>14</v>
      </c>
      <c r="B730" s="2" t="s">
        <v>15</v>
      </c>
      <c r="C730" s="2" t="s">
        <v>16</v>
      </c>
      <c r="D730" s="2" t="str">
        <f>("068983")</f>
        <v>068983</v>
      </c>
      <c r="E730" s="2" t="str">
        <f>("622454689831")</f>
        <v>622454689831</v>
      </c>
      <c r="G730" s="2" t="s">
        <v>815</v>
      </c>
      <c r="H730" s="5">
        <v>4612.24</v>
      </c>
      <c r="I730" s="2" t="s">
        <v>18</v>
      </c>
      <c r="J730" s="3">
        <v>43013</v>
      </c>
      <c r="K730" s="2">
        <v>0.499</v>
      </c>
      <c r="L730" s="2">
        <v>1.1000000000000001</v>
      </c>
      <c r="N730" s="2" t="s">
        <v>688</v>
      </c>
    </row>
    <row r="731" spans="1:14" x14ac:dyDescent="0.3">
      <c r="A731" s="2" t="s">
        <v>14</v>
      </c>
      <c r="B731" s="2" t="s">
        <v>15</v>
      </c>
      <c r="C731" s="2" t="s">
        <v>16</v>
      </c>
      <c r="D731" s="2" t="str">
        <f>("068784")</f>
        <v>068784</v>
      </c>
      <c r="E731" s="2" t="str">
        <f>("622454687844")</f>
        <v>622454687844</v>
      </c>
      <c r="G731" s="2" t="s">
        <v>816</v>
      </c>
      <c r="H731" s="5">
        <v>7300.65</v>
      </c>
      <c r="I731" s="2" t="s">
        <v>18</v>
      </c>
      <c r="J731" s="3">
        <v>43013</v>
      </c>
      <c r="K731" s="2">
        <v>2.1070000000000002</v>
      </c>
      <c r="L731" s="2">
        <v>4.6449999999999996</v>
      </c>
      <c r="N731" s="2" t="s">
        <v>688</v>
      </c>
    </row>
    <row r="732" spans="1:14" x14ac:dyDescent="0.3">
      <c r="A732" s="2" t="s">
        <v>14</v>
      </c>
      <c r="B732" s="2" t="s">
        <v>15</v>
      </c>
      <c r="C732" s="2" t="s">
        <v>16</v>
      </c>
      <c r="D732" s="2" t="str">
        <f>("068884")</f>
        <v>068884</v>
      </c>
      <c r="E732" s="2" t="str">
        <f>("622454688841")</f>
        <v>622454688841</v>
      </c>
      <c r="G732" s="2" t="s">
        <v>817</v>
      </c>
      <c r="H732" s="5">
        <v>4863.3599999999997</v>
      </c>
      <c r="I732" s="2" t="s">
        <v>18</v>
      </c>
      <c r="J732" s="3">
        <v>43013</v>
      </c>
      <c r="K732" s="2">
        <v>0.81599999999999995</v>
      </c>
      <c r="L732" s="2">
        <v>1.7989999999999999</v>
      </c>
      <c r="N732" s="2" t="s">
        <v>688</v>
      </c>
    </row>
    <row r="733" spans="1:14" x14ac:dyDescent="0.3">
      <c r="A733" s="2" t="s">
        <v>14</v>
      </c>
      <c r="B733" s="2" t="s">
        <v>15</v>
      </c>
      <c r="C733" s="2" t="s">
        <v>16</v>
      </c>
      <c r="D733" s="2" t="str">
        <f>("068984")</f>
        <v>068984</v>
      </c>
      <c r="E733" s="2" t="str">
        <f>("622454689848")</f>
        <v>622454689848</v>
      </c>
      <c r="G733" s="2" t="s">
        <v>818</v>
      </c>
      <c r="H733" s="5">
        <v>3625.66</v>
      </c>
      <c r="I733" s="2" t="s">
        <v>18</v>
      </c>
      <c r="J733" s="3">
        <v>43013</v>
      </c>
      <c r="K733" s="2">
        <v>0.59</v>
      </c>
      <c r="L733" s="2">
        <v>1.3009999999999999</v>
      </c>
      <c r="N733" s="2" t="s">
        <v>688</v>
      </c>
    </row>
    <row r="734" spans="1:14" x14ac:dyDescent="0.3">
      <c r="A734" s="2" t="s">
        <v>14</v>
      </c>
      <c r="B734" s="2" t="s">
        <v>15</v>
      </c>
      <c r="C734" s="2" t="s">
        <v>16</v>
      </c>
      <c r="D734" s="2" t="str">
        <f>("068785")</f>
        <v>068785</v>
      </c>
      <c r="E734" s="2" t="str">
        <f>("622454687851")</f>
        <v>622454687851</v>
      </c>
      <c r="G734" s="2" t="s">
        <v>819</v>
      </c>
      <c r="H734" s="5">
        <v>8031.61</v>
      </c>
      <c r="I734" s="2" t="s">
        <v>18</v>
      </c>
      <c r="J734" s="3">
        <v>43013</v>
      </c>
      <c r="K734" s="2">
        <v>2.6389999999999998</v>
      </c>
      <c r="L734" s="2">
        <v>5.8179999999999996</v>
      </c>
      <c r="N734" s="2" t="s">
        <v>688</v>
      </c>
    </row>
    <row r="735" spans="1:14" x14ac:dyDescent="0.3">
      <c r="A735" s="2" t="s">
        <v>14</v>
      </c>
      <c r="B735" s="2" t="s">
        <v>15</v>
      </c>
      <c r="C735" s="2" t="s">
        <v>16</v>
      </c>
      <c r="D735" s="2" t="str">
        <f>("068885")</f>
        <v>068885</v>
      </c>
      <c r="E735" s="2" t="str">
        <f>("622454688858")</f>
        <v>622454688858</v>
      </c>
      <c r="G735" s="2" t="s">
        <v>820</v>
      </c>
      <c r="H735" s="5">
        <v>5233.33</v>
      </c>
      <c r="I735" s="2" t="s">
        <v>18</v>
      </c>
      <c r="J735" s="3">
        <v>43013</v>
      </c>
      <c r="K735" s="2">
        <v>1.089</v>
      </c>
      <c r="L735" s="2">
        <v>2.4009999999999998</v>
      </c>
      <c r="N735" s="2" t="s">
        <v>688</v>
      </c>
    </row>
    <row r="736" spans="1:14" x14ac:dyDescent="0.3">
      <c r="A736" s="2" t="s">
        <v>14</v>
      </c>
      <c r="B736" s="2" t="s">
        <v>15</v>
      </c>
      <c r="C736" s="2" t="s">
        <v>16</v>
      </c>
      <c r="D736" s="2" t="str">
        <f>("068985")</f>
        <v>068985</v>
      </c>
      <c r="E736" s="2" t="str">
        <f>("622454001466")</f>
        <v>622454001466</v>
      </c>
      <c r="G736" s="2" t="s">
        <v>821</v>
      </c>
      <c r="H736" s="5">
        <v>4275.8999999999996</v>
      </c>
      <c r="I736" s="2" t="s">
        <v>18</v>
      </c>
      <c r="J736" s="3">
        <v>43013</v>
      </c>
      <c r="K736" s="2">
        <v>0.77100000000000002</v>
      </c>
      <c r="L736" s="2">
        <v>1.7</v>
      </c>
      <c r="N736" s="2" t="s">
        <v>688</v>
      </c>
    </row>
    <row r="737" spans="1:14" x14ac:dyDescent="0.3">
      <c r="A737" s="2" t="s">
        <v>14</v>
      </c>
      <c r="B737" s="2" t="s">
        <v>15</v>
      </c>
      <c r="C737" s="2" t="s">
        <v>16</v>
      </c>
      <c r="D737" s="2" t="str">
        <f>("178065")</f>
        <v>178065</v>
      </c>
      <c r="E737" s="2" t="str">
        <f>("622454096127")</f>
        <v>622454096127</v>
      </c>
      <c r="G737" s="2" t="s">
        <v>822</v>
      </c>
      <c r="H737" s="5">
        <v>4253.4799999999996</v>
      </c>
      <c r="I737" s="2" t="s">
        <v>18</v>
      </c>
      <c r="J737" s="3">
        <v>43013</v>
      </c>
      <c r="K737" s="2">
        <v>0.79800000000000004</v>
      </c>
      <c r="L737" s="2">
        <v>1.7589999999999999</v>
      </c>
      <c r="N737" s="2" t="s">
        <v>823</v>
      </c>
    </row>
    <row r="738" spans="1:14" x14ac:dyDescent="0.3">
      <c r="A738" s="2" t="s">
        <v>14</v>
      </c>
      <c r="B738" s="2" t="s">
        <v>15</v>
      </c>
      <c r="C738" s="2" t="s">
        <v>16</v>
      </c>
      <c r="D738" s="2" t="str">
        <f>("068786")</f>
        <v>068786</v>
      </c>
      <c r="E738" s="2" t="str">
        <f>("622454687868")</f>
        <v>622454687868</v>
      </c>
      <c r="G738" s="2" t="s">
        <v>824</v>
      </c>
      <c r="H738" s="5">
        <v>12206.62</v>
      </c>
      <c r="I738" s="2" t="s">
        <v>18</v>
      </c>
      <c r="J738" s="3">
        <v>43013</v>
      </c>
      <c r="K738" s="2">
        <v>4.5</v>
      </c>
      <c r="L738" s="2">
        <v>9.9209999999999994</v>
      </c>
      <c r="N738" s="2" t="s">
        <v>688</v>
      </c>
    </row>
    <row r="739" spans="1:14" x14ac:dyDescent="0.3">
      <c r="A739" s="2" t="s">
        <v>14</v>
      </c>
      <c r="B739" s="2" t="s">
        <v>15</v>
      </c>
      <c r="C739" s="2" t="s">
        <v>16</v>
      </c>
      <c r="D739" s="2" t="str">
        <f>("068886")</f>
        <v>068886</v>
      </c>
      <c r="E739" s="2" t="str">
        <f>("622454688865")</f>
        <v>622454688865</v>
      </c>
      <c r="G739" s="2" t="s">
        <v>825</v>
      </c>
      <c r="H739" s="5">
        <v>9531.65</v>
      </c>
      <c r="I739" s="2" t="s">
        <v>18</v>
      </c>
      <c r="J739" s="3">
        <v>43013</v>
      </c>
      <c r="K739" s="2">
        <v>1.7689999999999999</v>
      </c>
      <c r="L739" s="2">
        <v>3.9</v>
      </c>
      <c r="N739" s="2" t="s">
        <v>688</v>
      </c>
    </row>
    <row r="740" spans="1:14" x14ac:dyDescent="0.3">
      <c r="A740" s="2" t="s">
        <v>14</v>
      </c>
      <c r="B740" s="2" t="s">
        <v>15</v>
      </c>
      <c r="C740" s="2" t="s">
        <v>16</v>
      </c>
      <c r="D740" s="2" t="str">
        <f>("068986")</f>
        <v>068986</v>
      </c>
      <c r="E740" s="2" t="str">
        <f>("622454689862")</f>
        <v>622454689862</v>
      </c>
      <c r="G740" s="2" t="s">
        <v>826</v>
      </c>
      <c r="H740" s="5">
        <v>7856.72</v>
      </c>
      <c r="I740" s="2" t="s">
        <v>18</v>
      </c>
      <c r="J740" s="3">
        <v>43013</v>
      </c>
      <c r="K740" s="2">
        <v>1.27</v>
      </c>
      <c r="L740" s="2">
        <v>2.8</v>
      </c>
      <c r="N740" s="2" t="s">
        <v>688</v>
      </c>
    </row>
    <row r="741" spans="1:14" x14ac:dyDescent="0.3">
      <c r="A741" s="2" t="s">
        <v>14</v>
      </c>
      <c r="B741" s="2" t="s">
        <v>15</v>
      </c>
      <c r="C741" s="2" t="s">
        <v>16</v>
      </c>
      <c r="D741" s="2" t="str">
        <f>("068787")</f>
        <v>068787</v>
      </c>
      <c r="E741" s="2" t="str">
        <f>("622454687875")</f>
        <v>622454687875</v>
      </c>
      <c r="G741" s="2" t="s">
        <v>827</v>
      </c>
      <c r="H741" s="5">
        <v>15787.43</v>
      </c>
      <c r="I741" s="2" t="s">
        <v>18</v>
      </c>
      <c r="J741" s="3">
        <v>43013</v>
      </c>
      <c r="K741" s="2">
        <v>6.8109999999999999</v>
      </c>
      <c r="L741" s="2">
        <v>15.016</v>
      </c>
      <c r="N741" s="2" t="s">
        <v>688</v>
      </c>
    </row>
    <row r="742" spans="1:14" x14ac:dyDescent="0.3">
      <c r="A742" s="2" t="s">
        <v>14</v>
      </c>
      <c r="B742" s="2" t="s">
        <v>15</v>
      </c>
      <c r="C742" s="2" t="s">
        <v>16</v>
      </c>
      <c r="D742" s="2" t="str">
        <f>("068887")</f>
        <v>068887</v>
      </c>
      <c r="E742" s="2" t="str">
        <f>("622454688872")</f>
        <v>622454688872</v>
      </c>
      <c r="G742" s="2" t="s">
        <v>828</v>
      </c>
      <c r="H742" s="5">
        <v>9693.09</v>
      </c>
      <c r="I742" s="2" t="s">
        <v>18</v>
      </c>
      <c r="J742" s="3">
        <v>43013</v>
      </c>
      <c r="K742" s="2">
        <v>3.4060000000000001</v>
      </c>
      <c r="L742" s="2">
        <v>7.5090000000000003</v>
      </c>
      <c r="N742" s="2" t="s">
        <v>688</v>
      </c>
    </row>
    <row r="743" spans="1:14" x14ac:dyDescent="0.3">
      <c r="A743" s="2" t="s">
        <v>14</v>
      </c>
      <c r="B743" s="2" t="s">
        <v>15</v>
      </c>
      <c r="C743" s="2" t="s">
        <v>16</v>
      </c>
      <c r="D743" s="2" t="str">
        <f>("068987")</f>
        <v>068987</v>
      </c>
      <c r="E743" s="2" t="str">
        <f>("622454689879")</f>
        <v>622454689879</v>
      </c>
      <c r="G743" s="2" t="s">
        <v>829</v>
      </c>
      <c r="H743" s="5">
        <v>9547.35</v>
      </c>
      <c r="I743" s="2" t="s">
        <v>18</v>
      </c>
      <c r="J743" s="3">
        <v>43013</v>
      </c>
      <c r="K743" s="2">
        <v>1.724</v>
      </c>
      <c r="L743" s="2">
        <v>3.8010000000000002</v>
      </c>
      <c r="N743" s="2" t="s">
        <v>688</v>
      </c>
    </row>
    <row r="744" spans="1:14" x14ac:dyDescent="0.3">
      <c r="A744" s="2" t="s">
        <v>14</v>
      </c>
      <c r="B744" s="2" t="s">
        <v>15</v>
      </c>
      <c r="C744" s="2" t="s">
        <v>16</v>
      </c>
      <c r="D744" s="2" t="str">
        <f>("068526")</f>
        <v>068526</v>
      </c>
      <c r="E744" s="2" t="str">
        <f>("622454685260")</f>
        <v>622454685260</v>
      </c>
      <c r="G744" s="2" t="s">
        <v>830</v>
      </c>
      <c r="H744" s="5">
        <v>9578.74</v>
      </c>
      <c r="I744" s="2" t="s">
        <v>18</v>
      </c>
      <c r="J744" s="3">
        <v>43013</v>
      </c>
      <c r="K744" s="2">
        <v>2</v>
      </c>
      <c r="L744" s="2">
        <v>4.4089999999999998</v>
      </c>
      <c r="N744" s="2" t="s">
        <v>823</v>
      </c>
    </row>
    <row r="745" spans="1:14" x14ac:dyDescent="0.3">
      <c r="A745" s="2" t="s">
        <v>14</v>
      </c>
      <c r="B745" s="2" t="s">
        <v>15</v>
      </c>
      <c r="C745" s="2" t="s">
        <v>16</v>
      </c>
      <c r="D745" s="2" t="str">
        <f>("068788")</f>
        <v>068788</v>
      </c>
      <c r="E745" s="2" t="str">
        <f>("622454687882")</f>
        <v>622454687882</v>
      </c>
      <c r="G745" s="2" t="s">
        <v>831</v>
      </c>
      <c r="H745" s="5">
        <v>20549.900000000001</v>
      </c>
      <c r="I745" s="2" t="s">
        <v>18</v>
      </c>
      <c r="J745" s="3">
        <v>43013</v>
      </c>
      <c r="K745" s="2">
        <v>7.6440000000000001</v>
      </c>
      <c r="L745" s="2">
        <v>16.852</v>
      </c>
      <c r="N745" s="2" t="s">
        <v>688</v>
      </c>
    </row>
    <row r="746" spans="1:14" x14ac:dyDescent="0.3">
      <c r="A746" s="2" t="s">
        <v>14</v>
      </c>
      <c r="B746" s="2" t="s">
        <v>15</v>
      </c>
      <c r="C746" s="2" t="s">
        <v>16</v>
      </c>
      <c r="D746" s="2" t="str">
        <f>("068888")</f>
        <v>068888</v>
      </c>
      <c r="E746" s="2" t="str">
        <f>("622454688889")</f>
        <v>622454688889</v>
      </c>
      <c r="G746" s="2" t="s">
        <v>832</v>
      </c>
      <c r="H746" s="5">
        <v>11872.53</v>
      </c>
      <c r="I746" s="2" t="s">
        <v>18</v>
      </c>
      <c r="J746" s="3">
        <v>43013</v>
      </c>
      <c r="K746" s="2">
        <v>2.8119999999999998</v>
      </c>
      <c r="L746" s="2">
        <v>6.1989999999999998</v>
      </c>
      <c r="N746" s="2" t="s">
        <v>688</v>
      </c>
    </row>
    <row r="747" spans="1:14" x14ac:dyDescent="0.3">
      <c r="A747" s="2" t="s">
        <v>14</v>
      </c>
      <c r="B747" s="2" t="s">
        <v>15</v>
      </c>
      <c r="C747" s="2" t="s">
        <v>16</v>
      </c>
      <c r="D747" s="2" t="str">
        <f>("068988")</f>
        <v>068988</v>
      </c>
      <c r="E747" s="2" t="str">
        <f>("622454689886")</f>
        <v>622454689886</v>
      </c>
      <c r="G747" s="2" t="s">
        <v>833</v>
      </c>
      <c r="H747" s="5">
        <v>11836.65</v>
      </c>
      <c r="I747" s="2" t="s">
        <v>18</v>
      </c>
      <c r="J747" s="3">
        <v>43013</v>
      </c>
      <c r="K747" s="2">
        <v>1.996</v>
      </c>
      <c r="L747" s="2">
        <v>4.4000000000000004</v>
      </c>
      <c r="N747" s="2" t="s">
        <v>688</v>
      </c>
    </row>
    <row r="748" spans="1:14" x14ac:dyDescent="0.3">
      <c r="A748" s="2" t="s">
        <v>14</v>
      </c>
      <c r="B748" s="2" t="s">
        <v>15</v>
      </c>
      <c r="C748" s="2" t="s">
        <v>16</v>
      </c>
      <c r="D748" s="2" t="str">
        <f>("068789")</f>
        <v>068789</v>
      </c>
      <c r="E748" s="2" t="str">
        <f>("622454687899")</f>
        <v>622454687899</v>
      </c>
      <c r="G748" s="2" t="s">
        <v>834</v>
      </c>
      <c r="H748" s="5">
        <v>22532.01</v>
      </c>
      <c r="I748" s="2" t="s">
        <v>18</v>
      </c>
      <c r="J748" s="3">
        <v>43013</v>
      </c>
      <c r="K748" s="2">
        <v>6.8689999999999998</v>
      </c>
      <c r="L748" s="2">
        <v>15.144</v>
      </c>
      <c r="N748" s="2" t="s">
        <v>688</v>
      </c>
    </row>
    <row r="749" spans="1:14" x14ac:dyDescent="0.3">
      <c r="A749" s="2" t="s">
        <v>14</v>
      </c>
      <c r="B749" s="2" t="s">
        <v>15</v>
      </c>
      <c r="C749" s="2" t="s">
        <v>16</v>
      </c>
      <c r="D749" s="2" t="str">
        <f>("068889")</f>
        <v>068889</v>
      </c>
      <c r="E749" s="2" t="str">
        <f>("622454688896")</f>
        <v>622454688896</v>
      </c>
      <c r="G749" s="2" t="s">
        <v>835</v>
      </c>
      <c r="H749" s="5">
        <v>14520.58</v>
      </c>
      <c r="I749" s="2" t="s">
        <v>18</v>
      </c>
      <c r="J749" s="3">
        <v>43013</v>
      </c>
      <c r="K749" s="2">
        <v>4.6779999999999999</v>
      </c>
      <c r="L749" s="2">
        <v>10.313000000000001</v>
      </c>
      <c r="N749" s="2" t="s">
        <v>688</v>
      </c>
    </row>
    <row r="750" spans="1:14" x14ac:dyDescent="0.3">
      <c r="A750" s="2" t="s">
        <v>14</v>
      </c>
      <c r="B750" s="2" t="s">
        <v>15</v>
      </c>
      <c r="C750" s="2" t="s">
        <v>16</v>
      </c>
      <c r="D750" s="2" t="str">
        <f>("068989")</f>
        <v>068989</v>
      </c>
      <c r="E750" s="2" t="str">
        <f>("622454689893")</f>
        <v>622454689893</v>
      </c>
      <c r="G750" s="2" t="s">
        <v>836</v>
      </c>
      <c r="H750" s="5">
        <v>13673.02</v>
      </c>
      <c r="I750" s="2" t="s">
        <v>18</v>
      </c>
      <c r="J750" s="3">
        <v>43013</v>
      </c>
      <c r="K750" s="2">
        <v>3.4350000000000001</v>
      </c>
      <c r="L750" s="2">
        <v>7.5730000000000004</v>
      </c>
      <c r="N750" s="2" t="s">
        <v>688</v>
      </c>
    </row>
    <row r="751" spans="1:14" x14ac:dyDescent="0.3">
      <c r="A751" s="2" t="s">
        <v>14</v>
      </c>
      <c r="B751" s="2" t="s">
        <v>15</v>
      </c>
      <c r="C751" s="2" t="s">
        <v>16</v>
      </c>
      <c r="D751" s="2" t="str">
        <f>("068521")</f>
        <v>068521</v>
      </c>
      <c r="E751" s="2" t="str">
        <f>("622454685215")</f>
        <v>622454685215</v>
      </c>
      <c r="G751" s="2" t="s">
        <v>837</v>
      </c>
      <c r="H751" s="5">
        <v>8809.66</v>
      </c>
      <c r="I751" s="2" t="s">
        <v>18</v>
      </c>
      <c r="J751" s="3">
        <v>43013</v>
      </c>
      <c r="K751" s="2">
        <v>3.1160000000000001</v>
      </c>
      <c r="L751" s="2">
        <v>6.87</v>
      </c>
      <c r="N751" s="2" t="s">
        <v>823</v>
      </c>
    </row>
    <row r="752" spans="1:14" x14ac:dyDescent="0.3">
      <c r="A752" s="2" t="s">
        <v>14</v>
      </c>
      <c r="B752" s="2" t="s">
        <v>15</v>
      </c>
      <c r="C752" s="2" t="s">
        <v>16</v>
      </c>
      <c r="D752" s="2" t="str">
        <f>("068791")</f>
        <v>068791</v>
      </c>
      <c r="E752" s="2" t="str">
        <f>("622454687912")</f>
        <v>622454687912</v>
      </c>
      <c r="G752" s="2" t="s">
        <v>838</v>
      </c>
      <c r="H752" s="5">
        <v>30808.03</v>
      </c>
      <c r="I752" s="2" t="s">
        <v>18</v>
      </c>
      <c r="J752" s="3">
        <v>43013</v>
      </c>
      <c r="K752" s="2">
        <v>10.625999999999999</v>
      </c>
      <c r="L752" s="2">
        <v>23.425999999999998</v>
      </c>
      <c r="N752" s="2" t="s">
        <v>688</v>
      </c>
    </row>
    <row r="753" spans="1:14" x14ac:dyDescent="0.3">
      <c r="A753" s="2" t="s">
        <v>14</v>
      </c>
      <c r="B753" s="2" t="s">
        <v>15</v>
      </c>
      <c r="C753" s="2" t="s">
        <v>16</v>
      </c>
      <c r="D753" s="2" t="str">
        <f>("068891")</f>
        <v>068891</v>
      </c>
      <c r="E753" s="2" t="str">
        <f>("622454688919")</f>
        <v>622454688919</v>
      </c>
      <c r="G753" s="2" t="s">
        <v>839</v>
      </c>
      <c r="H753" s="5">
        <v>20383.97</v>
      </c>
      <c r="I753" s="2" t="s">
        <v>18</v>
      </c>
      <c r="J753" s="3">
        <v>43013</v>
      </c>
      <c r="K753" s="2">
        <v>7.899</v>
      </c>
      <c r="L753" s="2">
        <v>17.414000000000001</v>
      </c>
      <c r="N753" s="2" t="s">
        <v>688</v>
      </c>
    </row>
    <row r="754" spans="1:14" x14ac:dyDescent="0.3">
      <c r="A754" s="2" t="s">
        <v>14</v>
      </c>
      <c r="B754" s="2" t="s">
        <v>15</v>
      </c>
      <c r="C754" s="2" t="s">
        <v>16</v>
      </c>
      <c r="D754" s="2" t="str">
        <f>("068991")</f>
        <v>068991</v>
      </c>
      <c r="E754" s="2" t="str">
        <f>("622454689916")</f>
        <v>622454689916</v>
      </c>
      <c r="G754" s="2" t="s">
        <v>840</v>
      </c>
      <c r="H754" s="5">
        <v>19608.169999999998</v>
      </c>
      <c r="I754" s="2" t="s">
        <v>18</v>
      </c>
      <c r="J754" s="3">
        <v>43013</v>
      </c>
      <c r="K754" s="2">
        <v>4.54</v>
      </c>
      <c r="L754" s="2">
        <v>10.009</v>
      </c>
      <c r="N754" s="2" t="s">
        <v>688</v>
      </c>
    </row>
    <row r="755" spans="1:14" x14ac:dyDescent="0.3">
      <c r="A755" s="2" t="s">
        <v>14</v>
      </c>
      <c r="B755" s="2" t="s">
        <v>15</v>
      </c>
      <c r="C755" s="2" t="s">
        <v>16</v>
      </c>
      <c r="D755" s="2" t="str">
        <f>("078485")</f>
        <v>078485</v>
      </c>
      <c r="E755" s="2" t="str">
        <f>("622454784857")</f>
        <v>622454784857</v>
      </c>
      <c r="G755" s="2" t="s">
        <v>841</v>
      </c>
      <c r="H755" s="5">
        <v>12347.88</v>
      </c>
      <c r="I755" s="2" t="s">
        <v>18</v>
      </c>
      <c r="J755" s="3">
        <v>43013</v>
      </c>
      <c r="K755" s="2">
        <v>3.61</v>
      </c>
      <c r="L755" s="2">
        <v>7.9589999999999996</v>
      </c>
      <c r="N755" s="2" t="s">
        <v>823</v>
      </c>
    </row>
    <row r="756" spans="1:14" x14ac:dyDescent="0.3">
      <c r="A756" s="2" t="s">
        <v>14</v>
      </c>
      <c r="B756" s="2" t="s">
        <v>15</v>
      </c>
      <c r="C756" s="2" t="s">
        <v>16</v>
      </c>
      <c r="D756" s="2" t="str">
        <f>("068792")</f>
        <v>068792</v>
      </c>
      <c r="E756" s="2" t="str">
        <f>("622454687929")</f>
        <v>622454687929</v>
      </c>
      <c r="G756" s="2" t="s">
        <v>842</v>
      </c>
      <c r="H756" s="5">
        <v>39675.99</v>
      </c>
      <c r="I756" s="2" t="s">
        <v>18</v>
      </c>
      <c r="J756" s="3">
        <v>43013</v>
      </c>
      <c r="K756" s="2">
        <v>13.29</v>
      </c>
      <c r="L756" s="2">
        <v>29.298999999999999</v>
      </c>
      <c r="N756" s="2" t="s">
        <v>688</v>
      </c>
    </row>
    <row r="757" spans="1:14" x14ac:dyDescent="0.3">
      <c r="A757" s="2" t="s">
        <v>14</v>
      </c>
      <c r="B757" s="2" t="s">
        <v>15</v>
      </c>
      <c r="C757" s="2" t="s">
        <v>16</v>
      </c>
      <c r="D757" s="2" t="str">
        <f>("068892")</f>
        <v>068892</v>
      </c>
      <c r="E757" s="2" t="str">
        <f>("622454688926")</f>
        <v>622454688926</v>
      </c>
      <c r="G757" s="2" t="s">
        <v>843</v>
      </c>
      <c r="H757" s="5">
        <v>29265.38</v>
      </c>
      <c r="I757" s="2" t="s">
        <v>18</v>
      </c>
      <c r="J757" s="3">
        <v>43013</v>
      </c>
      <c r="K757" s="2">
        <v>11.321999999999999</v>
      </c>
      <c r="L757" s="2">
        <v>24.960999999999999</v>
      </c>
      <c r="N757" s="2" t="s">
        <v>688</v>
      </c>
    </row>
    <row r="758" spans="1:14" x14ac:dyDescent="0.3">
      <c r="A758" s="2" t="s">
        <v>14</v>
      </c>
      <c r="B758" s="2" t="s">
        <v>15</v>
      </c>
      <c r="C758" s="2" t="s">
        <v>16</v>
      </c>
      <c r="D758" s="2" t="str">
        <f>("068992")</f>
        <v>068992</v>
      </c>
      <c r="E758" s="2" t="str">
        <f>("622454689923")</f>
        <v>622454689923</v>
      </c>
      <c r="G758" s="2" t="s">
        <v>844</v>
      </c>
      <c r="H758" s="5">
        <v>23516.35</v>
      </c>
      <c r="I758" s="2" t="s">
        <v>18</v>
      </c>
      <c r="J758" s="3">
        <v>43013</v>
      </c>
      <c r="K758" s="2">
        <v>10.407</v>
      </c>
      <c r="L758" s="2">
        <v>22.943000000000001</v>
      </c>
      <c r="N758" s="2" t="s">
        <v>688</v>
      </c>
    </row>
    <row r="759" spans="1:14" x14ac:dyDescent="0.3">
      <c r="A759" s="2" t="s">
        <v>14</v>
      </c>
      <c r="B759" s="2" t="s">
        <v>15</v>
      </c>
      <c r="C759" s="2" t="s">
        <v>16</v>
      </c>
      <c r="D759" s="2" t="str">
        <f>("068527")</f>
        <v>068527</v>
      </c>
      <c r="E759" s="2" t="str">
        <f>("622454685277")</f>
        <v>622454685277</v>
      </c>
      <c r="G759" s="2" t="s">
        <v>845</v>
      </c>
      <c r="H759" s="5">
        <v>16771.759999999998</v>
      </c>
      <c r="I759" s="2" t="s">
        <v>18</v>
      </c>
      <c r="J759" s="3">
        <v>43013</v>
      </c>
      <c r="K759" s="2">
        <v>4.6449999999999996</v>
      </c>
      <c r="L759" s="2">
        <v>10.24</v>
      </c>
      <c r="N759" s="2" t="s">
        <v>823</v>
      </c>
    </row>
    <row r="760" spans="1:14" x14ac:dyDescent="0.3">
      <c r="A760" s="2" t="s">
        <v>14</v>
      </c>
      <c r="B760" s="2" t="s">
        <v>15</v>
      </c>
      <c r="C760" s="2" t="s">
        <v>16</v>
      </c>
      <c r="D760" s="2" t="str">
        <f>("068052")</f>
        <v>068052</v>
      </c>
      <c r="E760" s="2" t="str">
        <f>("622454331327")</f>
        <v>622454331327</v>
      </c>
      <c r="G760" s="2" t="s">
        <v>846</v>
      </c>
      <c r="H760" s="5">
        <v>76059</v>
      </c>
      <c r="I760" s="2" t="s">
        <v>18</v>
      </c>
      <c r="J760" s="3">
        <v>43013</v>
      </c>
      <c r="K760" s="2">
        <v>24.707000000000001</v>
      </c>
      <c r="L760" s="2">
        <v>54.47</v>
      </c>
      <c r="N760" s="2" t="s">
        <v>688</v>
      </c>
    </row>
    <row r="761" spans="1:14" x14ac:dyDescent="0.3">
      <c r="A761" s="2" t="s">
        <v>14</v>
      </c>
      <c r="B761" s="2" t="s">
        <v>15</v>
      </c>
      <c r="C761" s="2" t="s">
        <v>16</v>
      </c>
      <c r="D761" s="2" t="str">
        <f>("068082")</f>
        <v>068082</v>
      </c>
      <c r="E761" s="2" t="str">
        <f>("622454315228")</f>
        <v>622454315228</v>
      </c>
      <c r="G761" s="2" t="s">
        <v>847</v>
      </c>
      <c r="H761" s="5">
        <v>53137.5</v>
      </c>
      <c r="I761" s="2" t="s">
        <v>18</v>
      </c>
      <c r="J761" s="3">
        <v>43013</v>
      </c>
      <c r="K761" s="2">
        <v>12.353</v>
      </c>
      <c r="L761" s="2">
        <v>27.234000000000002</v>
      </c>
      <c r="N761" s="2" t="s">
        <v>688</v>
      </c>
    </row>
    <row r="762" spans="1:14" x14ac:dyDescent="0.3">
      <c r="A762" s="2" t="s">
        <v>14</v>
      </c>
      <c r="B762" s="2" t="s">
        <v>15</v>
      </c>
      <c r="C762" s="2" t="s">
        <v>16</v>
      </c>
      <c r="D762" s="2" t="str">
        <f>("068081")</f>
        <v>068081</v>
      </c>
      <c r="E762" s="2" t="str">
        <f>("622454315211")</f>
        <v>622454315211</v>
      </c>
      <c r="G762" s="2" t="s">
        <v>848</v>
      </c>
      <c r="H762" s="5">
        <v>53137.5</v>
      </c>
      <c r="I762" s="2" t="s">
        <v>18</v>
      </c>
      <c r="J762" s="3">
        <v>43013</v>
      </c>
      <c r="K762" s="2">
        <v>8.2270000000000003</v>
      </c>
      <c r="L762" s="2">
        <v>18.137</v>
      </c>
      <c r="N762" s="2" t="s">
        <v>823</v>
      </c>
    </row>
    <row r="763" spans="1:14" x14ac:dyDescent="0.3">
      <c r="A763" s="2" t="s">
        <v>14</v>
      </c>
      <c r="B763" s="2" t="s">
        <v>15</v>
      </c>
      <c r="C763" s="2" t="s">
        <v>16</v>
      </c>
      <c r="D763" s="2" t="str">
        <f>("068080")</f>
        <v>068080</v>
      </c>
      <c r="E763" s="2" t="str">
        <f>("622454315204")</f>
        <v>622454315204</v>
      </c>
      <c r="G763" s="2" t="s">
        <v>849</v>
      </c>
      <c r="H763" s="5">
        <v>53137.5</v>
      </c>
      <c r="I763" s="2" t="s">
        <v>18</v>
      </c>
      <c r="J763" s="3">
        <v>43013</v>
      </c>
      <c r="K763" s="2">
        <v>6.1769999999999996</v>
      </c>
      <c r="L763" s="2">
        <v>13.618</v>
      </c>
      <c r="N763" s="2" t="s">
        <v>688</v>
      </c>
    </row>
    <row r="764" spans="1:14" x14ac:dyDescent="0.3">
      <c r="A764" s="2" t="s">
        <v>14</v>
      </c>
      <c r="B764" s="2" t="s">
        <v>15</v>
      </c>
      <c r="C764" s="2" t="s">
        <v>16</v>
      </c>
      <c r="D764" s="2" t="str">
        <f>("068113")</f>
        <v>068113</v>
      </c>
      <c r="E764" s="2" t="str">
        <f>("622454681132")</f>
        <v>622454681132</v>
      </c>
      <c r="G764" s="2" t="s">
        <v>850</v>
      </c>
      <c r="H764" s="5">
        <v>13146.1</v>
      </c>
      <c r="I764" s="2" t="s">
        <v>18</v>
      </c>
      <c r="J764" s="3">
        <v>43013</v>
      </c>
      <c r="K764" s="2">
        <v>3.1909999999999998</v>
      </c>
      <c r="L764" s="2">
        <v>7.0350000000000001</v>
      </c>
      <c r="N764" s="2" t="s">
        <v>688</v>
      </c>
    </row>
    <row r="765" spans="1:14" x14ac:dyDescent="0.3">
      <c r="A765" s="2" t="s">
        <v>14</v>
      </c>
      <c r="B765" s="2" t="s">
        <v>15</v>
      </c>
      <c r="C765" s="2" t="s">
        <v>16</v>
      </c>
      <c r="D765" s="2" t="str">
        <f>("178168")</f>
        <v>178168</v>
      </c>
      <c r="E765" s="2" t="str">
        <f>("622454283312")</f>
        <v>622454283312</v>
      </c>
      <c r="G765" s="2" t="s">
        <v>851</v>
      </c>
      <c r="H765" s="5">
        <v>19978.13</v>
      </c>
      <c r="I765" s="2" t="s">
        <v>18</v>
      </c>
      <c r="J765" s="3">
        <v>43013</v>
      </c>
      <c r="K765" s="2">
        <v>4.63</v>
      </c>
      <c r="L765" s="2">
        <v>10.207000000000001</v>
      </c>
      <c r="N765" s="2" t="s">
        <v>688</v>
      </c>
    </row>
    <row r="766" spans="1:14" x14ac:dyDescent="0.3">
      <c r="A766" s="2" t="s">
        <v>14</v>
      </c>
      <c r="B766" s="2" t="s">
        <v>15</v>
      </c>
      <c r="C766" s="2" t="s">
        <v>16</v>
      </c>
      <c r="D766" s="2" t="str">
        <f>("068114")</f>
        <v>068114</v>
      </c>
      <c r="E766" s="2" t="str">
        <f>("622454681149")</f>
        <v>622454681149</v>
      </c>
      <c r="G766" s="2" t="s">
        <v>852</v>
      </c>
      <c r="H766" s="5">
        <v>25837.040000000001</v>
      </c>
      <c r="I766" s="2" t="s">
        <v>18</v>
      </c>
      <c r="J766" s="3">
        <v>43013</v>
      </c>
      <c r="K766" s="2">
        <v>6.8109999999999999</v>
      </c>
      <c r="L766" s="2">
        <v>15.016</v>
      </c>
      <c r="N766" s="2" t="s">
        <v>688</v>
      </c>
    </row>
    <row r="767" spans="1:14" x14ac:dyDescent="0.3">
      <c r="A767" s="2" t="s">
        <v>14</v>
      </c>
      <c r="B767" s="2" t="s">
        <v>15</v>
      </c>
      <c r="C767" s="2" t="s">
        <v>16</v>
      </c>
      <c r="D767" s="2" t="str">
        <f>("068112")</f>
        <v>068112</v>
      </c>
      <c r="E767" s="2" t="str">
        <f>("622454681125")</f>
        <v>622454681125</v>
      </c>
      <c r="G767" s="2" t="s">
        <v>853</v>
      </c>
      <c r="H767" s="5">
        <v>36879.94</v>
      </c>
      <c r="I767" s="2" t="s">
        <v>18</v>
      </c>
      <c r="J767" s="3">
        <v>43013</v>
      </c>
      <c r="K767" s="2">
        <v>9.8819999999999997</v>
      </c>
      <c r="L767" s="2">
        <v>21.786000000000001</v>
      </c>
      <c r="N767" s="2" t="s">
        <v>688</v>
      </c>
    </row>
    <row r="768" spans="1:14" x14ac:dyDescent="0.3">
      <c r="A768" s="2" t="s">
        <v>14</v>
      </c>
      <c r="B768" s="2" t="s">
        <v>15</v>
      </c>
      <c r="C768" s="2" t="s">
        <v>16</v>
      </c>
      <c r="D768" s="2" t="str">
        <f>("078011")</f>
        <v>078011</v>
      </c>
      <c r="E768" s="2" t="str">
        <f>("622454780118")</f>
        <v>622454780118</v>
      </c>
      <c r="G768" s="2" t="s">
        <v>854</v>
      </c>
      <c r="H768" s="5">
        <v>22419.9</v>
      </c>
      <c r="I768" s="2" t="s">
        <v>18</v>
      </c>
      <c r="J768" s="3">
        <v>43013</v>
      </c>
      <c r="K768" s="2">
        <v>3.915</v>
      </c>
      <c r="L768" s="2">
        <v>8.6310000000000002</v>
      </c>
      <c r="N768" s="2" t="s">
        <v>688</v>
      </c>
    </row>
    <row r="769" spans="1:14" x14ac:dyDescent="0.3">
      <c r="A769" s="2" t="s">
        <v>14</v>
      </c>
      <c r="B769" s="2" t="s">
        <v>15</v>
      </c>
      <c r="C769" s="2" t="s">
        <v>16</v>
      </c>
      <c r="D769" s="2" t="str">
        <f>("068111")</f>
        <v>068111</v>
      </c>
      <c r="E769" s="2" t="str">
        <f>("622454681118")</f>
        <v>622454681118</v>
      </c>
      <c r="G769" s="2" t="s">
        <v>855</v>
      </c>
      <c r="H769" s="5">
        <v>11107.93</v>
      </c>
      <c r="I769" s="2" t="s">
        <v>18</v>
      </c>
      <c r="J769" s="3">
        <v>43013</v>
      </c>
      <c r="K769" s="2">
        <v>2.95</v>
      </c>
      <c r="L769" s="2">
        <v>6.5039999999999996</v>
      </c>
      <c r="N769" s="2" t="s">
        <v>823</v>
      </c>
    </row>
    <row r="770" spans="1:14" x14ac:dyDescent="0.3">
      <c r="A770" s="2" t="s">
        <v>14</v>
      </c>
      <c r="B770" s="2" t="s">
        <v>15</v>
      </c>
      <c r="C770" s="2" t="s">
        <v>16</v>
      </c>
      <c r="D770" s="2" t="str">
        <f>("068115")</f>
        <v>068115</v>
      </c>
      <c r="E770" s="2" t="str">
        <f>("622454681156")</f>
        <v>622454681156</v>
      </c>
      <c r="G770" s="2" t="s">
        <v>856</v>
      </c>
      <c r="H770" s="5">
        <v>50422.92</v>
      </c>
      <c r="I770" s="2" t="s">
        <v>18</v>
      </c>
      <c r="J770" s="3">
        <v>43013</v>
      </c>
      <c r="K770" s="2">
        <v>13.634</v>
      </c>
      <c r="L770" s="2">
        <v>30.058</v>
      </c>
      <c r="N770" s="2" t="s">
        <v>688</v>
      </c>
    </row>
    <row r="771" spans="1:14" x14ac:dyDescent="0.3">
      <c r="A771" s="2" t="s">
        <v>14</v>
      </c>
      <c r="B771" s="2" t="s">
        <v>15</v>
      </c>
      <c r="C771" s="2" t="s">
        <v>16</v>
      </c>
      <c r="D771" s="2" t="str">
        <f>("078615")</f>
        <v>078615</v>
      </c>
      <c r="E771" s="2" t="str">
        <f>("622454786158")</f>
        <v>622454786158</v>
      </c>
      <c r="G771" s="2" t="s">
        <v>857</v>
      </c>
      <c r="H771" s="5">
        <v>31471.72</v>
      </c>
      <c r="I771" s="2" t="s">
        <v>18</v>
      </c>
      <c r="J771" s="3">
        <v>43013</v>
      </c>
      <c r="K771" s="2">
        <v>5.9420000000000002</v>
      </c>
      <c r="L771" s="2">
        <v>13.1</v>
      </c>
      <c r="N771" s="2" t="s">
        <v>688</v>
      </c>
    </row>
    <row r="772" spans="1:14" x14ac:dyDescent="0.3">
      <c r="A772" s="2" t="s">
        <v>14</v>
      </c>
      <c r="B772" s="2" t="s">
        <v>15</v>
      </c>
      <c r="C772" s="2" t="s">
        <v>16</v>
      </c>
      <c r="D772" s="2" t="str">
        <f>("068132")</f>
        <v>068132</v>
      </c>
      <c r="E772" s="2" t="str">
        <f>("622454681323")</f>
        <v>622454681323</v>
      </c>
      <c r="G772" s="2" t="s">
        <v>858</v>
      </c>
      <c r="H772" s="5">
        <v>30274.38</v>
      </c>
      <c r="I772" s="2" t="s">
        <v>18</v>
      </c>
      <c r="J772" s="3">
        <v>43013</v>
      </c>
      <c r="K772" s="2">
        <v>2.86</v>
      </c>
      <c r="L772" s="2">
        <v>6.3049999999999997</v>
      </c>
      <c r="N772" s="2" t="s">
        <v>688</v>
      </c>
    </row>
    <row r="773" spans="1:14" x14ac:dyDescent="0.3">
      <c r="A773" s="2" t="s">
        <v>14</v>
      </c>
      <c r="B773" s="2" t="s">
        <v>15</v>
      </c>
      <c r="C773" s="2" t="s">
        <v>16</v>
      </c>
      <c r="D773" s="2" t="str">
        <f>("078937")</f>
        <v>078937</v>
      </c>
      <c r="E773" s="2" t="str">
        <f>("622454789371")</f>
        <v>622454789371</v>
      </c>
      <c r="G773" s="2" t="s">
        <v>859</v>
      </c>
      <c r="H773" s="5">
        <v>64936.78</v>
      </c>
      <c r="I773" s="2" t="s">
        <v>18</v>
      </c>
      <c r="J773" s="3">
        <v>43013</v>
      </c>
      <c r="K773" s="2">
        <v>18.579999999999998</v>
      </c>
      <c r="L773" s="2">
        <v>40.962000000000003</v>
      </c>
      <c r="N773" s="2" t="s">
        <v>688</v>
      </c>
    </row>
    <row r="774" spans="1:14" x14ac:dyDescent="0.3">
      <c r="A774" s="2" t="s">
        <v>14</v>
      </c>
      <c r="B774" s="2" t="s">
        <v>15</v>
      </c>
      <c r="C774" s="2" t="s">
        <v>16</v>
      </c>
      <c r="D774" s="2" t="str">
        <f>("078220")</f>
        <v>078220</v>
      </c>
      <c r="E774" s="2" t="str">
        <f>("622454782204")</f>
        <v>622454782204</v>
      </c>
      <c r="G774" s="2" t="s">
        <v>860</v>
      </c>
      <c r="H774" s="5">
        <v>45142.51</v>
      </c>
      <c r="I774" s="2" t="s">
        <v>18</v>
      </c>
      <c r="J774" s="3">
        <v>43013</v>
      </c>
      <c r="K774" s="2">
        <v>7.7130000000000001</v>
      </c>
      <c r="L774" s="2">
        <v>17.004000000000001</v>
      </c>
      <c r="N774" s="2" t="s">
        <v>688</v>
      </c>
    </row>
    <row r="775" spans="1:14" x14ac:dyDescent="0.3">
      <c r="A775" s="2" t="s">
        <v>14</v>
      </c>
      <c r="B775" s="2" t="s">
        <v>15</v>
      </c>
      <c r="C775" s="2" t="s">
        <v>16</v>
      </c>
      <c r="D775" s="2" t="str">
        <f>("178255")</f>
        <v>178255</v>
      </c>
      <c r="E775" s="2" t="str">
        <f>("622454348257")</f>
        <v>622454348257</v>
      </c>
      <c r="G775" s="2" t="s">
        <v>861</v>
      </c>
      <c r="H775" s="5">
        <v>36310.42</v>
      </c>
      <c r="I775" s="2" t="s">
        <v>18</v>
      </c>
      <c r="J775" s="3">
        <v>43013</v>
      </c>
      <c r="K775" s="2">
        <v>32.08</v>
      </c>
      <c r="L775" s="2">
        <v>70.724000000000004</v>
      </c>
      <c r="N775" s="2" t="s">
        <v>688</v>
      </c>
    </row>
    <row r="776" spans="1:14" x14ac:dyDescent="0.3">
      <c r="A776" s="2" t="s">
        <v>14</v>
      </c>
      <c r="B776" s="2" t="s">
        <v>15</v>
      </c>
      <c r="C776" s="2" t="s">
        <v>16</v>
      </c>
      <c r="D776" s="2" t="str">
        <f>("078221")</f>
        <v>078221</v>
      </c>
      <c r="E776" s="2" t="str">
        <f>("622454782211")</f>
        <v>622454782211</v>
      </c>
      <c r="G776" s="2" t="s">
        <v>862</v>
      </c>
      <c r="H776" s="5">
        <v>25893.09</v>
      </c>
      <c r="I776" s="2" t="s">
        <v>18</v>
      </c>
      <c r="J776" s="3">
        <v>43013</v>
      </c>
      <c r="K776" s="2">
        <v>5.5090000000000003</v>
      </c>
      <c r="L776" s="2">
        <v>12.145</v>
      </c>
      <c r="N776" s="2" t="s">
        <v>823</v>
      </c>
    </row>
    <row r="777" spans="1:14" x14ac:dyDescent="0.3">
      <c r="A777" s="2" t="s">
        <v>14</v>
      </c>
      <c r="B777" s="2" t="s">
        <v>15</v>
      </c>
      <c r="C777" s="2" t="s">
        <v>16</v>
      </c>
      <c r="D777" s="2" t="str">
        <f>("068014")</f>
        <v>068014</v>
      </c>
      <c r="E777" s="2" t="str">
        <f>("622454680142")</f>
        <v>622454680142</v>
      </c>
      <c r="G777" s="2" t="s">
        <v>863</v>
      </c>
      <c r="H777" s="5">
        <v>4246.75</v>
      </c>
      <c r="I777" s="2" t="s">
        <v>18</v>
      </c>
      <c r="J777" s="3">
        <v>43013</v>
      </c>
      <c r="K777" s="2">
        <v>1.32</v>
      </c>
      <c r="L777" s="2">
        <v>2.91</v>
      </c>
      <c r="N777" s="2" t="s">
        <v>864</v>
      </c>
    </row>
    <row r="778" spans="1:14" x14ac:dyDescent="0.3">
      <c r="A778" s="2" t="s">
        <v>14</v>
      </c>
      <c r="B778" s="2" t="s">
        <v>15</v>
      </c>
      <c r="C778" s="2" t="s">
        <v>16</v>
      </c>
      <c r="D778" s="2" t="str">
        <f>("068015")</f>
        <v>068015</v>
      </c>
      <c r="E778" s="2" t="str">
        <f>("622454680159")</f>
        <v>622454680159</v>
      </c>
      <c r="G778" s="2" t="s">
        <v>865</v>
      </c>
      <c r="H778" s="5">
        <v>3598.75</v>
      </c>
      <c r="I778" s="2" t="s">
        <v>18</v>
      </c>
      <c r="J778" s="3">
        <v>43013</v>
      </c>
      <c r="K778" s="2">
        <v>0.84199999999999997</v>
      </c>
      <c r="L778" s="2">
        <v>1.8560000000000001</v>
      </c>
      <c r="N778" s="2" t="s">
        <v>864</v>
      </c>
    </row>
    <row r="779" spans="1:14" x14ac:dyDescent="0.3">
      <c r="A779" s="2" t="s">
        <v>14</v>
      </c>
      <c r="B779" s="2" t="s">
        <v>15</v>
      </c>
      <c r="C779" s="2" t="s">
        <v>16</v>
      </c>
      <c r="D779" s="2" t="str">
        <f>("068016")</f>
        <v>068016</v>
      </c>
      <c r="E779" s="2" t="str">
        <f>("622454680166")</f>
        <v>622454680166</v>
      </c>
      <c r="G779" s="2" t="s">
        <v>866</v>
      </c>
      <c r="H779" s="5">
        <v>6605.56</v>
      </c>
      <c r="I779" s="2" t="s">
        <v>18</v>
      </c>
      <c r="J779" s="3">
        <v>43013</v>
      </c>
      <c r="K779" s="2">
        <v>1.7989999999999999</v>
      </c>
      <c r="L779" s="2">
        <v>3.9660000000000002</v>
      </c>
      <c r="N779" s="2" t="s">
        <v>864</v>
      </c>
    </row>
    <row r="780" spans="1:14" x14ac:dyDescent="0.3">
      <c r="A780" s="2" t="s">
        <v>14</v>
      </c>
      <c r="B780" s="2" t="s">
        <v>15</v>
      </c>
      <c r="C780" s="2" t="s">
        <v>16</v>
      </c>
      <c r="D780" s="2" t="str">
        <f>("068017")</f>
        <v>068017</v>
      </c>
      <c r="E780" s="2" t="str">
        <f>("622454680173")</f>
        <v>622454680173</v>
      </c>
      <c r="G780" s="2" t="s">
        <v>867</v>
      </c>
      <c r="H780" s="5">
        <v>5614.51</v>
      </c>
      <c r="I780" s="2" t="s">
        <v>18</v>
      </c>
      <c r="J780" s="3">
        <v>43013</v>
      </c>
      <c r="K780" s="2">
        <v>1.7</v>
      </c>
      <c r="L780" s="2">
        <v>3.7480000000000002</v>
      </c>
      <c r="N780" s="2" t="s">
        <v>864</v>
      </c>
    </row>
    <row r="781" spans="1:14" x14ac:dyDescent="0.3">
      <c r="A781" s="2" t="s">
        <v>14</v>
      </c>
      <c r="B781" s="2" t="s">
        <v>15</v>
      </c>
      <c r="C781" s="2" t="s">
        <v>16</v>
      </c>
      <c r="D781" s="2" t="str">
        <f>("068018")</f>
        <v>068018</v>
      </c>
      <c r="E781" s="2" t="str">
        <f>("622454680180")</f>
        <v>622454680180</v>
      </c>
      <c r="G781" s="2" t="s">
        <v>868</v>
      </c>
      <c r="H781" s="5">
        <v>8679.61</v>
      </c>
      <c r="I781" s="2" t="s">
        <v>18</v>
      </c>
      <c r="J781" s="3">
        <v>43013</v>
      </c>
      <c r="K781" s="2">
        <v>2.2810000000000001</v>
      </c>
      <c r="L781" s="2">
        <v>5.0289999999999999</v>
      </c>
      <c r="N781" s="2" t="s">
        <v>864</v>
      </c>
    </row>
    <row r="782" spans="1:14" x14ac:dyDescent="0.3">
      <c r="A782" s="2" t="s">
        <v>14</v>
      </c>
      <c r="B782" s="2" t="s">
        <v>15</v>
      </c>
      <c r="C782" s="2" t="s">
        <v>16</v>
      </c>
      <c r="D782" s="2" t="str">
        <f>("068019")</f>
        <v>068019</v>
      </c>
      <c r="E782" s="2" t="str">
        <f>("622454680197")</f>
        <v>622454680197</v>
      </c>
      <c r="G782" s="2" t="s">
        <v>869</v>
      </c>
      <c r="H782" s="5">
        <v>9051.82</v>
      </c>
      <c r="I782" s="2" t="s">
        <v>18</v>
      </c>
      <c r="J782" s="3">
        <v>43013</v>
      </c>
      <c r="K782" s="2">
        <v>1E-3</v>
      </c>
      <c r="L782" s="2">
        <v>2E-3</v>
      </c>
      <c r="N782" s="2" t="s">
        <v>864</v>
      </c>
    </row>
    <row r="783" spans="1:14" x14ac:dyDescent="0.3">
      <c r="A783" s="2" t="s">
        <v>14</v>
      </c>
      <c r="B783" s="2" t="s">
        <v>15</v>
      </c>
      <c r="C783" s="2" t="s">
        <v>16</v>
      </c>
      <c r="D783" s="2" t="str">
        <f>("068030")</f>
        <v>068030</v>
      </c>
      <c r="E783" s="2" t="str">
        <f>("622454680302")</f>
        <v>622454680302</v>
      </c>
      <c r="G783" s="2" t="s">
        <v>870</v>
      </c>
      <c r="H783" s="5">
        <v>4968.75</v>
      </c>
      <c r="I783" s="2" t="s">
        <v>18</v>
      </c>
      <c r="J783" s="3">
        <v>43013</v>
      </c>
      <c r="K783" s="2">
        <v>1.32</v>
      </c>
      <c r="L783" s="2">
        <v>2.91</v>
      </c>
      <c r="N783" s="2" t="s">
        <v>864</v>
      </c>
    </row>
    <row r="784" spans="1:14" x14ac:dyDescent="0.3">
      <c r="A784" s="2" t="s">
        <v>14</v>
      </c>
      <c r="B784" s="2" t="s">
        <v>15</v>
      </c>
      <c r="C784" s="2" t="s">
        <v>16</v>
      </c>
      <c r="D784" s="2" t="str">
        <f>("068033")</f>
        <v>068033</v>
      </c>
      <c r="E784" s="2" t="str">
        <f>("622454680333")</f>
        <v>622454680333</v>
      </c>
      <c r="G784" s="2" t="s">
        <v>871</v>
      </c>
      <c r="H784" s="5">
        <v>3751.22</v>
      </c>
      <c r="I784" s="2" t="s">
        <v>18</v>
      </c>
      <c r="J784" s="3">
        <v>43013</v>
      </c>
      <c r="K784" s="2">
        <v>0.92400000000000004</v>
      </c>
      <c r="L784" s="2">
        <v>2.0369999999999999</v>
      </c>
      <c r="N784" s="2" t="s">
        <v>864</v>
      </c>
    </row>
    <row r="785" spans="1:14" x14ac:dyDescent="0.3">
      <c r="A785" s="2" t="s">
        <v>14</v>
      </c>
      <c r="B785" s="2" t="s">
        <v>15</v>
      </c>
      <c r="C785" s="2" t="s">
        <v>16</v>
      </c>
      <c r="D785" s="2" t="str">
        <f>("068034")</f>
        <v>068034</v>
      </c>
      <c r="E785" s="2" t="str">
        <f>("622454680340")</f>
        <v>622454680340</v>
      </c>
      <c r="G785" s="2" t="s">
        <v>872</v>
      </c>
      <c r="H785" s="5">
        <v>7749.09</v>
      </c>
      <c r="I785" s="2" t="s">
        <v>18</v>
      </c>
      <c r="J785" s="3">
        <v>43013</v>
      </c>
      <c r="K785" s="2">
        <v>2.25</v>
      </c>
      <c r="L785" s="2">
        <v>4.96</v>
      </c>
      <c r="N785" s="2" t="s">
        <v>864</v>
      </c>
    </row>
    <row r="786" spans="1:14" x14ac:dyDescent="0.3">
      <c r="A786" s="2" t="s">
        <v>14</v>
      </c>
      <c r="B786" s="2" t="s">
        <v>15</v>
      </c>
      <c r="C786" s="2" t="s">
        <v>16</v>
      </c>
      <c r="D786" s="2" t="str">
        <f>("068035")</f>
        <v>068035</v>
      </c>
      <c r="E786" s="2" t="str">
        <f>("622454680357")</f>
        <v>622454680357</v>
      </c>
      <c r="G786" s="2" t="s">
        <v>873</v>
      </c>
      <c r="H786" s="5">
        <v>6215.42</v>
      </c>
      <c r="I786" s="2" t="s">
        <v>18</v>
      </c>
      <c r="J786" s="3">
        <v>43013</v>
      </c>
      <c r="K786" s="2">
        <v>1.5</v>
      </c>
      <c r="L786" s="2">
        <v>3.3069999999999999</v>
      </c>
      <c r="N786" s="2" t="s">
        <v>864</v>
      </c>
    </row>
    <row r="787" spans="1:14" x14ac:dyDescent="0.3">
      <c r="A787" s="2" t="s">
        <v>14</v>
      </c>
      <c r="B787" s="2" t="s">
        <v>15</v>
      </c>
      <c r="C787" s="2" t="s">
        <v>16</v>
      </c>
      <c r="D787" s="2" t="str">
        <f>("068036")</f>
        <v>068036</v>
      </c>
      <c r="E787" s="2" t="str">
        <f>("622454680364")</f>
        <v>622454680364</v>
      </c>
      <c r="G787" s="2" t="s">
        <v>874</v>
      </c>
      <c r="H787" s="5">
        <v>10309.700000000001</v>
      </c>
      <c r="I787" s="2" t="s">
        <v>18</v>
      </c>
      <c r="J787" s="3">
        <v>43013</v>
      </c>
      <c r="K787" s="2">
        <v>3.4060000000000001</v>
      </c>
      <c r="L787" s="2">
        <v>7.5090000000000003</v>
      </c>
      <c r="N787" s="2" t="s">
        <v>864</v>
      </c>
    </row>
    <row r="788" spans="1:14" x14ac:dyDescent="0.3">
      <c r="A788" s="2" t="s">
        <v>14</v>
      </c>
      <c r="B788" s="2" t="s">
        <v>15</v>
      </c>
      <c r="C788" s="2" t="s">
        <v>16</v>
      </c>
      <c r="D788" s="2" t="str">
        <f>("068037")</f>
        <v>068037</v>
      </c>
      <c r="E788" s="2" t="str">
        <f>("622454680371")</f>
        <v>622454680371</v>
      </c>
      <c r="G788" s="2" t="s">
        <v>875</v>
      </c>
      <c r="H788" s="5">
        <v>9814.17</v>
      </c>
      <c r="I788" s="2" t="s">
        <v>18</v>
      </c>
      <c r="J788" s="3">
        <v>43013</v>
      </c>
      <c r="K788" s="2">
        <v>1.81</v>
      </c>
      <c r="L788" s="2">
        <v>3.99</v>
      </c>
      <c r="N788" s="2" t="s">
        <v>864</v>
      </c>
    </row>
    <row r="789" spans="1:14" x14ac:dyDescent="0.3">
      <c r="A789" s="2" t="s">
        <v>14</v>
      </c>
      <c r="B789" s="2" t="s">
        <v>15</v>
      </c>
      <c r="C789" s="2" t="s">
        <v>16</v>
      </c>
      <c r="D789" s="2" t="str">
        <f>("068038")</f>
        <v>068038</v>
      </c>
      <c r="E789" s="2" t="str">
        <f>("622454680388")</f>
        <v>622454680388</v>
      </c>
      <c r="G789" s="2" t="s">
        <v>876</v>
      </c>
      <c r="H789" s="5">
        <v>13087.81</v>
      </c>
      <c r="I789" s="2" t="s">
        <v>18</v>
      </c>
      <c r="J789" s="3">
        <v>43013</v>
      </c>
      <c r="K789" s="2">
        <v>3.8220000000000001</v>
      </c>
      <c r="L789" s="2">
        <v>8.4260000000000002</v>
      </c>
      <c r="N789" s="2" t="s">
        <v>864</v>
      </c>
    </row>
    <row r="790" spans="1:14" x14ac:dyDescent="0.3">
      <c r="A790" s="2" t="s">
        <v>14</v>
      </c>
      <c r="B790" s="2" t="s">
        <v>15</v>
      </c>
      <c r="C790" s="2" t="s">
        <v>16</v>
      </c>
      <c r="D790" s="2" t="str">
        <f>("068039")</f>
        <v>068039</v>
      </c>
      <c r="E790" s="2" t="str">
        <f>("622454680395")</f>
        <v>622454680395</v>
      </c>
      <c r="G790" s="2" t="s">
        <v>877</v>
      </c>
      <c r="H790" s="5">
        <v>10901.65</v>
      </c>
      <c r="I790" s="2" t="s">
        <v>18</v>
      </c>
      <c r="J790" s="3">
        <v>43013</v>
      </c>
      <c r="K790" s="2">
        <v>0.40699999999999997</v>
      </c>
      <c r="L790" s="2">
        <v>0.89700000000000002</v>
      </c>
      <c r="N790" s="2" t="s">
        <v>864</v>
      </c>
    </row>
    <row r="791" spans="1:14" x14ac:dyDescent="0.3">
      <c r="A791" s="2" t="s">
        <v>14</v>
      </c>
      <c r="B791" s="2" t="s">
        <v>15</v>
      </c>
      <c r="C791" s="2" t="s">
        <v>16</v>
      </c>
      <c r="D791" s="2" t="str">
        <f>("068050")</f>
        <v>068050</v>
      </c>
      <c r="E791" s="2" t="str">
        <f>("622454680500")</f>
        <v>622454680500</v>
      </c>
      <c r="G791" s="2" t="s">
        <v>878</v>
      </c>
      <c r="H791" s="5">
        <v>14890.55</v>
      </c>
      <c r="I791" s="2" t="s">
        <v>18</v>
      </c>
      <c r="J791" s="3">
        <v>43013</v>
      </c>
      <c r="K791" s="2">
        <v>4.6779999999999999</v>
      </c>
      <c r="L791" s="2">
        <v>10.313000000000001</v>
      </c>
      <c r="N791" s="2" t="s">
        <v>864</v>
      </c>
    </row>
    <row r="792" spans="1:14" x14ac:dyDescent="0.3">
      <c r="A792" s="2" t="s">
        <v>14</v>
      </c>
      <c r="B792" s="2" t="s">
        <v>15</v>
      </c>
      <c r="C792" s="2" t="s">
        <v>16</v>
      </c>
      <c r="D792" s="2" t="str">
        <f>("078945")</f>
        <v>078945</v>
      </c>
      <c r="E792" s="2" t="str">
        <f>("622454789456")</f>
        <v>622454789456</v>
      </c>
      <c r="G792" s="2" t="s">
        <v>879</v>
      </c>
      <c r="H792" s="5">
        <v>14726.87</v>
      </c>
      <c r="I792" s="2" t="s">
        <v>18</v>
      </c>
      <c r="J792" s="3">
        <v>43013</v>
      </c>
      <c r="K792" s="2">
        <v>2.54</v>
      </c>
      <c r="L792" s="2">
        <v>5.6</v>
      </c>
      <c r="N792" s="2" t="s">
        <v>880</v>
      </c>
    </row>
    <row r="793" spans="1:14" x14ac:dyDescent="0.3">
      <c r="A793" s="2" t="s">
        <v>14</v>
      </c>
      <c r="B793" s="2" t="s">
        <v>15</v>
      </c>
      <c r="C793" s="2" t="s">
        <v>16</v>
      </c>
      <c r="D793" s="2" t="str">
        <f>("068054")</f>
        <v>068054</v>
      </c>
      <c r="E793" s="2" t="str">
        <f>("622454680548")</f>
        <v>622454680548</v>
      </c>
      <c r="G793" s="2" t="s">
        <v>881</v>
      </c>
      <c r="H793" s="5">
        <v>6421.7</v>
      </c>
      <c r="I793" s="2" t="s">
        <v>18</v>
      </c>
      <c r="J793" s="3">
        <v>43013</v>
      </c>
      <c r="K793" s="2">
        <v>1.643</v>
      </c>
      <c r="L793" s="2">
        <v>3.6219999999999999</v>
      </c>
      <c r="N793" s="2" t="s">
        <v>864</v>
      </c>
    </row>
    <row r="794" spans="1:14" x14ac:dyDescent="0.3">
      <c r="A794" s="2" t="s">
        <v>14</v>
      </c>
      <c r="B794" s="2" t="s">
        <v>15</v>
      </c>
      <c r="C794" s="2" t="s">
        <v>16</v>
      </c>
      <c r="D794" s="2" t="str">
        <f>("068055")</f>
        <v>068055</v>
      </c>
      <c r="E794" s="2" t="str">
        <f>("622454680555")</f>
        <v>622454680555</v>
      </c>
      <c r="G794" s="2" t="s">
        <v>882</v>
      </c>
      <c r="H794" s="5">
        <v>5585.36</v>
      </c>
      <c r="I794" s="2" t="s">
        <v>18</v>
      </c>
      <c r="J794" s="3">
        <v>43013</v>
      </c>
      <c r="K794" s="2">
        <v>1.089</v>
      </c>
      <c r="L794" s="2">
        <v>2.4009999999999998</v>
      </c>
      <c r="N794" s="2" t="s">
        <v>864</v>
      </c>
    </row>
    <row r="795" spans="1:14" x14ac:dyDescent="0.3">
      <c r="A795" s="2" t="s">
        <v>14</v>
      </c>
      <c r="B795" s="2" t="s">
        <v>15</v>
      </c>
      <c r="C795" s="2" t="s">
        <v>16</v>
      </c>
      <c r="D795" s="2" t="str">
        <f>("068056")</f>
        <v>068056</v>
      </c>
      <c r="E795" s="2" t="str">
        <f>("622454680562")</f>
        <v>622454680562</v>
      </c>
      <c r="G795" s="2" t="s">
        <v>883</v>
      </c>
      <c r="H795" s="5">
        <v>9971.1299999999992</v>
      </c>
      <c r="I795" s="2" t="s">
        <v>18</v>
      </c>
      <c r="J795" s="3">
        <v>43013</v>
      </c>
      <c r="K795" s="2">
        <v>4.5</v>
      </c>
      <c r="L795" s="2">
        <v>9.9209999999999994</v>
      </c>
      <c r="N795" s="2" t="s">
        <v>864</v>
      </c>
    </row>
    <row r="796" spans="1:14" x14ac:dyDescent="0.3">
      <c r="A796" s="2" t="s">
        <v>14</v>
      </c>
      <c r="B796" s="2" t="s">
        <v>15</v>
      </c>
      <c r="C796" s="2" t="s">
        <v>16</v>
      </c>
      <c r="D796" s="2" t="str">
        <f>("078508")</f>
        <v>078508</v>
      </c>
      <c r="E796" s="2" t="str">
        <f>("622454785083")</f>
        <v>622454785083</v>
      </c>
      <c r="G796" s="2" t="s">
        <v>884</v>
      </c>
      <c r="H796" s="5">
        <v>7710.98</v>
      </c>
      <c r="I796" s="2" t="s">
        <v>18</v>
      </c>
      <c r="J796" s="3">
        <v>43013</v>
      </c>
      <c r="K796" s="2">
        <v>1.5449999999999999</v>
      </c>
      <c r="L796" s="2">
        <v>3.4060000000000001</v>
      </c>
      <c r="N796" s="2" t="s">
        <v>880</v>
      </c>
    </row>
    <row r="797" spans="1:14" x14ac:dyDescent="0.3">
      <c r="A797" s="2" t="s">
        <v>14</v>
      </c>
      <c r="B797" s="2" t="s">
        <v>15</v>
      </c>
      <c r="C797" s="2" t="s">
        <v>16</v>
      </c>
      <c r="D797" s="2" t="str">
        <f>("068058")</f>
        <v>068058</v>
      </c>
      <c r="E797" s="2" t="str">
        <f>("622454680586")</f>
        <v>622454680586</v>
      </c>
      <c r="G797" s="2" t="s">
        <v>885</v>
      </c>
      <c r="H797" s="5">
        <v>13238.03</v>
      </c>
      <c r="I797" s="2" t="s">
        <v>18</v>
      </c>
      <c r="J797" s="3">
        <v>43013</v>
      </c>
      <c r="K797" s="2">
        <v>3.6190000000000002</v>
      </c>
      <c r="L797" s="2">
        <v>7.9790000000000001</v>
      </c>
      <c r="N797" s="2" t="s">
        <v>864</v>
      </c>
    </row>
    <row r="798" spans="1:14" x14ac:dyDescent="0.3">
      <c r="A798" s="2" t="s">
        <v>14</v>
      </c>
      <c r="B798" s="2" t="s">
        <v>15</v>
      </c>
      <c r="C798" s="2" t="s">
        <v>16</v>
      </c>
      <c r="D798" s="2" t="str">
        <f>("078513")</f>
        <v>078513</v>
      </c>
      <c r="E798" s="2" t="str">
        <f>("622454785137")</f>
        <v>622454785137</v>
      </c>
      <c r="G798" s="2" t="s">
        <v>886</v>
      </c>
      <c r="H798" s="5">
        <v>11067.57</v>
      </c>
      <c r="I798" s="2" t="s">
        <v>18</v>
      </c>
      <c r="J798" s="3">
        <v>43013</v>
      </c>
      <c r="K798" s="2">
        <v>2.1819999999999999</v>
      </c>
      <c r="L798" s="2">
        <v>4.8099999999999996</v>
      </c>
      <c r="N798" s="2" t="s">
        <v>880</v>
      </c>
    </row>
    <row r="799" spans="1:14" x14ac:dyDescent="0.3">
      <c r="A799" s="2" t="s">
        <v>14</v>
      </c>
      <c r="B799" s="2" t="s">
        <v>15</v>
      </c>
      <c r="C799" s="2" t="s">
        <v>16</v>
      </c>
      <c r="D799" s="2" t="str">
        <f>("068070")</f>
        <v>068070</v>
      </c>
      <c r="E799" s="2" t="str">
        <f>("622454001190")</f>
        <v>622454001190</v>
      </c>
      <c r="G799" s="2" t="s">
        <v>887</v>
      </c>
      <c r="H799" s="5">
        <v>17040.830000000002</v>
      </c>
      <c r="I799" s="2" t="s">
        <v>18</v>
      </c>
      <c r="J799" s="3">
        <v>43013</v>
      </c>
      <c r="K799" s="2">
        <v>7.6440000000000001</v>
      </c>
      <c r="L799" s="2">
        <v>16.852</v>
      </c>
      <c r="N799" s="2" t="s">
        <v>864</v>
      </c>
    </row>
    <row r="800" spans="1:14" x14ac:dyDescent="0.3">
      <c r="A800" s="2" t="s">
        <v>14</v>
      </c>
      <c r="B800" s="2" t="s">
        <v>15</v>
      </c>
      <c r="C800" s="2" t="s">
        <v>16</v>
      </c>
      <c r="D800" s="2" t="str">
        <f>("068071")</f>
        <v>068071</v>
      </c>
      <c r="E800" s="2" t="str">
        <f>("622454680715")</f>
        <v>622454680715</v>
      </c>
      <c r="G800" s="2" t="s">
        <v>888</v>
      </c>
      <c r="H800" s="5">
        <v>12986.91</v>
      </c>
      <c r="I800" s="2" t="s">
        <v>18</v>
      </c>
      <c r="J800" s="3">
        <v>43013</v>
      </c>
      <c r="K800" s="2">
        <v>2.3090000000000002</v>
      </c>
      <c r="L800" s="2">
        <v>5.09</v>
      </c>
      <c r="N800" s="2" t="s">
        <v>864</v>
      </c>
    </row>
    <row r="801" spans="1:14" x14ac:dyDescent="0.3">
      <c r="A801" s="2" t="s">
        <v>14</v>
      </c>
      <c r="B801" s="2" t="s">
        <v>15</v>
      </c>
      <c r="C801" s="2" t="s">
        <v>16</v>
      </c>
      <c r="D801" s="2" t="str">
        <f>("068072")</f>
        <v>068072</v>
      </c>
      <c r="E801" s="2" t="str">
        <f>("622454680722")</f>
        <v>622454680722</v>
      </c>
      <c r="G801" s="2" t="s">
        <v>889</v>
      </c>
      <c r="H801" s="5">
        <v>19112.64</v>
      </c>
      <c r="I801" s="2" t="s">
        <v>18</v>
      </c>
      <c r="J801" s="3">
        <v>43013</v>
      </c>
      <c r="K801" s="2">
        <v>5.73</v>
      </c>
      <c r="L801" s="2">
        <v>12.632</v>
      </c>
      <c r="N801" s="2" t="s">
        <v>864</v>
      </c>
    </row>
    <row r="802" spans="1:14" x14ac:dyDescent="0.3">
      <c r="A802" s="2" t="s">
        <v>14</v>
      </c>
      <c r="B802" s="2" t="s">
        <v>15</v>
      </c>
      <c r="C802" s="2" t="s">
        <v>16</v>
      </c>
      <c r="D802" s="2" t="str">
        <f>("068073")</f>
        <v>068073</v>
      </c>
      <c r="E802" s="2" t="str">
        <f>("622454680739")</f>
        <v>622454680739</v>
      </c>
      <c r="G802" s="2" t="s">
        <v>890</v>
      </c>
      <c r="H802" s="5">
        <v>16045.29</v>
      </c>
      <c r="I802" s="2" t="s">
        <v>18</v>
      </c>
      <c r="J802" s="3">
        <v>43013</v>
      </c>
      <c r="K802" s="2">
        <v>3.726</v>
      </c>
      <c r="L802" s="2">
        <v>8.2140000000000004</v>
      </c>
      <c r="N802" s="2" t="s">
        <v>864</v>
      </c>
    </row>
    <row r="803" spans="1:14" x14ac:dyDescent="0.3">
      <c r="A803" s="2" t="s">
        <v>14</v>
      </c>
      <c r="B803" s="2" t="s">
        <v>15</v>
      </c>
      <c r="C803" s="2" t="s">
        <v>16</v>
      </c>
      <c r="D803" s="2" t="str">
        <f>("068074")</f>
        <v>068074</v>
      </c>
      <c r="E803" s="2" t="str">
        <f>("622454680746")</f>
        <v>622454680746</v>
      </c>
      <c r="G803" s="2" t="s">
        <v>891</v>
      </c>
      <c r="H803" s="5">
        <v>31370.82</v>
      </c>
      <c r="I803" s="2" t="s">
        <v>18</v>
      </c>
      <c r="J803" s="3">
        <v>43013</v>
      </c>
      <c r="K803" s="2">
        <v>7.899</v>
      </c>
      <c r="L803" s="2">
        <v>17.414000000000001</v>
      </c>
      <c r="N803" s="2" t="s">
        <v>864</v>
      </c>
    </row>
    <row r="804" spans="1:14" x14ac:dyDescent="0.3">
      <c r="A804" s="2" t="s">
        <v>14</v>
      </c>
      <c r="B804" s="2" t="s">
        <v>15</v>
      </c>
      <c r="C804" s="2" t="s">
        <v>16</v>
      </c>
      <c r="D804" s="2" t="str">
        <f>("068075")</f>
        <v>068075</v>
      </c>
      <c r="E804" s="2" t="str">
        <f>("622454680753")</f>
        <v>622454680753</v>
      </c>
      <c r="G804" s="2" t="s">
        <v>892</v>
      </c>
      <c r="H804" s="5">
        <v>26191.31</v>
      </c>
      <c r="I804" s="2" t="s">
        <v>18</v>
      </c>
      <c r="J804" s="3">
        <v>43013</v>
      </c>
      <c r="K804" s="2">
        <v>6.8</v>
      </c>
      <c r="L804" s="2">
        <v>14.991</v>
      </c>
      <c r="N804" s="2" t="s">
        <v>864</v>
      </c>
    </row>
    <row r="805" spans="1:14" x14ac:dyDescent="0.3">
      <c r="A805" s="2" t="s">
        <v>14</v>
      </c>
      <c r="B805" s="2" t="s">
        <v>15</v>
      </c>
      <c r="C805" s="2" t="s">
        <v>16</v>
      </c>
      <c r="D805" s="2" t="str">
        <f>("068076")</f>
        <v>068076</v>
      </c>
      <c r="E805" s="2" t="str">
        <f>("622454680760")</f>
        <v>622454680760</v>
      </c>
      <c r="G805" s="2" t="s">
        <v>893</v>
      </c>
      <c r="H805" s="5">
        <v>44911.56</v>
      </c>
      <c r="I805" s="2" t="s">
        <v>18</v>
      </c>
      <c r="J805" s="3">
        <v>43013</v>
      </c>
      <c r="K805" s="2">
        <v>17.841999999999999</v>
      </c>
      <c r="L805" s="2">
        <v>39.335000000000001</v>
      </c>
      <c r="N805" s="2" t="s">
        <v>864</v>
      </c>
    </row>
    <row r="806" spans="1:14" x14ac:dyDescent="0.3">
      <c r="A806" s="2" t="s">
        <v>14</v>
      </c>
      <c r="B806" s="2" t="s">
        <v>15</v>
      </c>
      <c r="C806" s="2" t="s">
        <v>16</v>
      </c>
      <c r="D806" s="2" t="str">
        <f>("068077")</f>
        <v>068077</v>
      </c>
      <c r="E806" s="2" t="str">
        <f>("622454680777")</f>
        <v>622454680777</v>
      </c>
      <c r="G806" s="2" t="s">
        <v>894</v>
      </c>
      <c r="H806" s="5">
        <v>35799.199999999997</v>
      </c>
      <c r="I806" s="2" t="s">
        <v>18</v>
      </c>
      <c r="J806" s="3">
        <v>43013</v>
      </c>
      <c r="K806" s="2">
        <v>6.9379999999999997</v>
      </c>
      <c r="L806" s="2">
        <v>15.295999999999999</v>
      </c>
      <c r="N806" s="2" t="s">
        <v>864</v>
      </c>
    </row>
    <row r="807" spans="1:14" x14ac:dyDescent="0.3">
      <c r="A807" s="2" t="s">
        <v>14</v>
      </c>
      <c r="B807" s="2" t="s">
        <v>15</v>
      </c>
      <c r="C807" s="2" t="s">
        <v>16</v>
      </c>
      <c r="D807" s="2" t="str">
        <f>("068078")</f>
        <v>068078</v>
      </c>
      <c r="E807" s="2" t="str">
        <f>("622454680784")</f>
        <v>622454680784</v>
      </c>
      <c r="G807" s="2" t="s">
        <v>895</v>
      </c>
      <c r="H807" s="5">
        <v>8610.1</v>
      </c>
      <c r="I807" s="2" t="s">
        <v>18</v>
      </c>
      <c r="J807" s="3">
        <v>43013</v>
      </c>
      <c r="K807" s="2">
        <v>2.6389999999999998</v>
      </c>
      <c r="L807" s="2">
        <v>5.8179999999999996</v>
      </c>
      <c r="N807" s="2" t="s">
        <v>864</v>
      </c>
    </row>
    <row r="808" spans="1:14" x14ac:dyDescent="0.3">
      <c r="A808" s="2" t="s">
        <v>14</v>
      </c>
      <c r="B808" s="2" t="s">
        <v>15</v>
      </c>
      <c r="C808" s="2" t="s">
        <v>16</v>
      </c>
      <c r="D808" s="2" t="str">
        <f>("068079")</f>
        <v>068079</v>
      </c>
      <c r="E808" s="2" t="str">
        <f>("622454680791")</f>
        <v>622454680791</v>
      </c>
      <c r="G808" s="2" t="s">
        <v>896</v>
      </c>
      <c r="H808" s="5">
        <v>6015.86</v>
      </c>
      <c r="I808" s="2" t="s">
        <v>18</v>
      </c>
      <c r="J808" s="3">
        <v>43013</v>
      </c>
      <c r="K808" s="2">
        <v>1.0569999999999999</v>
      </c>
      <c r="L808" s="2">
        <v>2.33</v>
      </c>
      <c r="N808" s="2" t="s">
        <v>864</v>
      </c>
    </row>
    <row r="809" spans="1:14" x14ac:dyDescent="0.3">
      <c r="A809" s="2" t="s">
        <v>14</v>
      </c>
      <c r="B809" s="2" t="s">
        <v>15</v>
      </c>
      <c r="C809" s="2" t="s">
        <v>16</v>
      </c>
      <c r="D809" s="2" t="str">
        <f>("068086")</f>
        <v>068086</v>
      </c>
      <c r="E809" s="2" t="str">
        <f>("622454008960")</f>
        <v>622454008960</v>
      </c>
      <c r="G809" s="2" t="s">
        <v>897</v>
      </c>
      <c r="H809" s="5">
        <v>13202.16</v>
      </c>
      <c r="I809" s="2" t="s">
        <v>18</v>
      </c>
      <c r="J809" s="3">
        <v>43013</v>
      </c>
      <c r="K809" s="2">
        <v>4.5</v>
      </c>
      <c r="L809" s="2">
        <v>9.9209999999999994</v>
      </c>
      <c r="N809" s="2" t="s">
        <v>864</v>
      </c>
    </row>
    <row r="810" spans="1:14" x14ac:dyDescent="0.3">
      <c r="A810" s="2" t="s">
        <v>14</v>
      </c>
      <c r="B810" s="2" t="s">
        <v>15</v>
      </c>
      <c r="C810" s="2" t="s">
        <v>16</v>
      </c>
      <c r="D810" s="2" t="str">
        <f>("068090")</f>
        <v>068090</v>
      </c>
      <c r="E810" s="2" t="str">
        <f>("622454680906")</f>
        <v>622454680906</v>
      </c>
      <c r="G810" s="2" t="s">
        <v>898</v>
      </c>
      <c r="H810" s="5">
        <v>10285.040000000001</v>
      </c>
      <c r="I810" s="2" t="s">
        <v>18</v>
      </c>
      <c r="J810" s="3">
        <v>43013</v>
      </c>
      <c r="K810" s="2">
        <v>2.63</v>
      </c>
      <c r="L810" s="2">
        <v>5.798</v>
      </c>
      <c r="N810" s="2" t="s">
        <v>864</v>
      </c>
    </row>
    <row r="811" spans="1:14" x14ac:dyDescent="0.3">
      <c r="A811" s="2" t="s">
        <v>14</v>
      </c>
      <c r="B811" s="2" t="s">
        <v>15</v>
      </c>
      <c r="C811" s="2" t="s">
        <v>16</v>
      </c>
      <c r="D811" s="2" t="str">
        <f>("068091")</f>
        <v>068091</v>
      </c>
      <c r="E811" s="2" t="str">
        <f>("622454680913")</f>
        <v>622454680913</v>
      </c>
      <c r="G811" s="2" t="s">
        <v>899</v>
      </c>
      <c r="H811" s="5">
        <v>17372.68</v>
      </c>
      <c r="I811" s="2" t="s">
        <v>18</v>
      </c>
      <c r="J811" s="3">
        <v>43013</v>
      </c>
      <c r="K811" s="2">
        <v>6.8109999999999999</v>
      </c>
      <c r="L811" s="2">
        <v>15.016</v>
      </c>
      <c r="N811" s="2" t="s">
        <v>864</v>
      </c>
    </row>
    <row r="812" spans="1:14" x14ac:dyDescent="0.3">
      <c r="A812" s="2" t="s">
        <v>14</v>
      </c>
      <c r="B812" s="2" t="s">
        <v>15</v>
      </c>
      <c r="C812" s="2" t="s">
        <v>16</v>
      </c>
      <c r="D812" s="2" t="str">
        <f>("068092")</f>
        <v>068092</v>
      </c>
      <c r="E812" s="2" t="str">
        <f>("622454680920")</f>
        <v>622454680920</v>
      </c>
      <c r="G812" s="2" t="s">
        <v>900</v>
      </c>
      <c r="H812" s="5">
        <v>11372.51</v>
      </c>
      <c r="I812" s="2" t="s">
        <v>18</v>
      </c>
      <c r="J812" s="3">
        <v>43013</v>
      </c>
      <c r="K812" s="2">
        <v>3.456</v>
      </c>
      <c r="L812" s="2">
        <v>7.6189999999999998</v>
      </c>
      <c r="N812" s="2" t="s">
        <v>864</v>
      </c>
    </row>
    <row r="813" spans="1:14" x14ac:dyDescent="0.3">
      <c r="A813" s="2" t="s">
        <v>14</v>
      </c>
      <c r="B813" s="2" t="s">
        <v>15</v>
      </c>
      <c r="C813" s="2" t="s">
        <v>16</v>
      </c>
      <c r="D813" s="2" t="str">
        <f>("068093")</f>
        <v>068093</v>
      </c>
      <c r="E813" s="2" t="str">
        <f>("622454680937")</f>
        <v>622454680937</v>
      </c>
      <c r="G813" s="2" t="s">
        <v>901</v>
      </c>
      <c r="H813" s="5">
        <v>23762.99</v>
      </c>
      <c r="I813" s="2" t="s">
        <v>18</v>
      </c>
      <c r="J813" s="3">
        <v>43013</v>
      </c>
      <c r="K813" s="2">
        <v>4.84</v>
      </c>
      <c r="L813" s="2">
        <v>10.67</v>
      </c>
      <c r="N813" s="2" t="s">
        <v>864</v>
      </c>
    </row>
    <row r="814" spans="1:14" x14ac:dyDescent="0.3">
      <c r="A814" s="2" t="s">
        <v>14</v>
      </c>
      <c r="B814" s="2" t="s">
        <v>15</v>
      </c>
      <c r="C814" s="2" t="s">
        <v>16</v>
      </c>
      <c r="D814" s="2" t="str">
        <f>("068094")</f>
        <v>068094</v>
      </c>
      <c r="E814" s="2" t="str">
        <f>("622454680944")</f>
        <v>622454680944</v>
      </c>
      <c r="G814" s="2" t="s">
        <v>902</v>
      </c>
      <c r="H814" s="5">
        <v>14040.75</v>
      </c>
      <c r="I814" s="2" t="s">
        <v>18</v>
      </c>
      <c r="J814" s="3">
        <v>43013</v>
      </c>
      <c r="K814" s="2">
        <v>41.25</v>
      </c>
      <c r="L814" s="2">
        <v>90.941000000000003</v>
      </c>
      <c r="N814" s="2" t="s">
        <v>864</v>
      </c>
    </row>
    <row r="815" spans="1:14" x14ac:dyDescent="0.3">
      <c r="A815" s="2" t="s">
        <v>14</v>
      </c>
      <c r="B815" s="2" t="s">
        <v>15</v>
      </c>
      <c r="C815" s="2" t="s">
        <v>16</v>
      </c>
      <c r="D815" s="2" t="str">
        <f>("068095")</f>
        <v>068095</v>
      </c>
      <c r="E815" s="2" t="str">
        <f>("622454680951")</f>
        <v>622454680951</v>
      </c>
      <c r="G815" s="2" t="s">
        <v>903</v>
      </c>
      <c r="H815" s="5">
        <v>24976.03</v>
      </c>
      <c r="I815" s="2" t="s">
        <v>18</v>
      </c>
      <c r="J815" s="3">
        <v>43013</v>
      </c>
      <c r="K815" s="2">
        <v>6.8689999999999998</v>
      </c>
      <c r="L815" s="2">
        <v>15.144</v>
      </c>
      <c r="N815" s="2" t="s">
        <v>864</v>
      </c>
    </row>
    <row r="816" spans="1:14" x14ac:dyDescent="0.3">
      <c r="A816" s="2" t="s">
        <v>14</v>
      </c>
      <c r="B816" s="2" t="s">
        <v>15</v>
      </c>
      <c r="C816" s="2" t="s">
        <v>16</v>
      </c>
      <c r="D816" s="2" t="str">
        <f>("068096")</f>
        <v>068096</v>
      </c>
      <c r="E816" s="2" t="str">
        <f>("622454680968")</f>
        <v>622454680968</v>
      </c>
      <c r="G816" s="2" t="s">
        <v>904</v>
      </c>
      <c r="H816" s="5">
        <v>17117.07</v>
      </c>
      <c r="I816" s="2" t="s">
        <v>18</v>
      </c>
      <c r="J816" s="3">
        <v>43013</v>
      </c>
      <c r="K816" s="2">
        <v>4.9409999999999998</v>
      </c>
      <c r="L816" s="2">
        <v>10.893000000000001</v>
      </c>
      <c r="N816" s="2" t="s">
        <v>864</v>
      </c>
    </row>
    <row r="817" spans="1:14" x14ac:dyDescent="0.3">
      <c r="A817" s="2" t="s">
        <v>14</v>
      </c>
      <c r="B817" s="2" t="s">
        <v>15</v>
      </c>
      <c r="C817" s="2" t="s">
        <v>16</v>
      </c>
      <c r="D817" s="2" t="str">
        <f>("068097")</f>
        <v>068097</v>
      </c>
      <c r="E817" s="2" t="str">
        <f>("622454680975")</f>
        <v>622454680975</v>
      </c>
      <c r="G817" s="2" t="s">
        <v>905</v>
      </c>
      <c r="H817" s="5">
        <v>37245.43</v>
      </c>
      <c r="I817" s="2" t="s">
        <v>18</v>
      </c>
      <c r="J817" s="3">
        <v>43013</v>
      </c>
      <c r="K817" s="2">
        <v>10.625999999999999</v>
      </c>
      <c r="L817" s="2">
        <v>23.425999999999998</v>
      </c>
      <c r="N817" s="2" t="s">
        <v>864</v>
      </c>
    </row>
    <row r="818" spans="1:14" x14ac:dyDescent="0.3">
      <c r="A818" s="2" t="s">
        <v>14</v>
      </c>
      <c r="B818" s="2" t="s">
        <v>15</v>
      </c>
      <c r="C818" s="2" t="s">
        <v>16</v>
      </c>
      <c r="D818" s="2" t="str">
        <f>("068098")</f>
        <v>068098</v>
      </c>
      <c r="E818" s="2" t="str">
        <f>("622454680982")</f>
        <v>622454680982</v>
      </c>
      <c r="G818" s="2" t="s">
        <v>906</v>
      </c>
      <c r="H818" s="5">
        <v>27184.61</v>
      </c>
      <c r="I818" s="2" t="s">
        <v>18</v>
      </c>
      <c r="J818" s="3">
        <v>43013</v>
      </c>
      <c r="K818" s="2">
        <v>10.625999999999999</v>
      </c>
      <c r="L818" s="2">
        <v>23.425999999999998</v>
      </c>
      <c r="N818" s="2" t="s">
        <v>864</v>
      </c>
    </row>
    <row r="819" spans="1:14" x14ac:dyDescent="0.3">
      <c r="A819" s="2" t="s">
        <v>14</v>
      </c>
      <c r="B819" s="2" t="s">
        <v>15</v>
      </c>
      <c r="C819" s="2" t="s">
        <v>16</v>
      </c>
      <c r="D819" s="2" t="str">
        <f>("068099")</f>
        <v>068099</v>
      </c>
      <c r="E819" s="2" t="str">
        <f>("622454680999")</f>
        <v>622454680999</v>
      </c>
      <c r="G819" s="2" t="s">
        <v>907</v>
      </c>
      <c r="H819" s="5">
        <v>47862.31</v>
      </c>
      <c r="I819" s="2" t="s">
        <v>18</v>
      </c>
      <c r="J819" s="3">
        <v>43013</v>
      </c>
      <c r="K819" s="2">
        <v>13.29</v>
      </c>
      <c r="L819" s="2">
        <v>29.298999999999999</v>
      </c>
      <c r="N819" s="2" t="s">
        <v>864</v>
      </c>
    </row>
    <row r="820" spans="1:14" x14ac:dyDescent="0.3">
      <c r="A820" s="2" t="s">
        <v>14</v>
      </c>
      <c r="B820" s="2" t="s">
        <v>15</v>
      </c>
      <c r="C820" s="2" t="s">
        <v>16</v>
      </c>
      <c r="D820" s="2" t="str">
        <f>("068106")</f>
        <v>068106</v>
      </c>
      <c r="E820" s="2" t="str">
        <f>("622454681064")</f>
        <v>622454681064</v>
      </c>
      <c r="G820" s="2" t="s">
        <v>908</v>
      </c>
      <c r="H820" s="5">
        <v>38727.53</v>
      </c>
      <c r="I820" s="2" t="s">
        <v>18</v>
      </c>
      <c r="J820" s="3">
        <v>43013</v>
      </c>
      <c r="K820" s="2">
        <v>6.4130000000000003</v>
      </c>
      <c r="L820" s="2">
        <v>14.138</v>
      </c>
      <c r="N820" s="2" t="s">
        <v>864</v>
      </c>
    </row>
    <row r="821" spans="1:14" x14ac:dyDescent="0.3">
      <c r="A821" s="2" t="s">
        <v>14</v>
      </c>
      <c r="B821" s="2" t="s">
        <v>15</v>
      </c>
      <c r="C821" s="2" t="s">
        <v>16</v>
      </c>
      <c r="D821" s="2" t="str">
        <f>("068710")</f>
        <v>068710</v>
      </c>
      <c r="E821" s="2" t="str">
        <f>("622454687103")</f>
        <v>622454687103</v>
      </c>
      <c r="G821" s="2" t="s">
        <v>909</v>
      </c>
      <c r="H821" s="5">
        <v>3825.22</v>
      </c>
      <c r="I821" s="2" t="s">
        <v>18</v>
      </c>
      <c r="J821" s="3">
        <v>43013</v>
      </c>
      <c r="K821" s="2">
        <v>0.57199999999999995</v>
      </c>
      <c r="L821" s="2">
        <v>1.2609999999999999</v>
      </c>
      <c r="N821" s="2" t="s">
        <v>910</v>
      </c>
    </row>
    <row r="822" spans="1:14" x14ac:dyDescent="0.3">
      <c r="A822" s="2" t="s">
        <v>14</v>
      </c>
      <c r="B822" s="2" t="s">
        <v>15</v>
      </c>
      <c r="C822" s="2" t="s">
        <v>16</v>
      </c>
      <c r="D822" s="2" t="str">
        <f>("068711")</f>
        <v>068711</v>
      </c>
      <c r="E822" s="2" t="str">
        <f>("622454687110")</f>
        <v>622454687110</v>
      </c>
      <c r="G822" s="2" t="s">
        <v>911</v>
      </c>
      <c r="H822" s="5">
        <v>5110.01</v>
      </c>
      <c r="I822" s="2" t="s">
        <v>18</v>
      </c>
      <c r="J822" s="3">
        <v>43013</v>
      </c>
      <c r="K822" s="2">
        <v>0.874</v>
      </c>
      <c r="L822" s="2">
        <v>1.927</v>
      </c>
      <c r="N822" s="2" t="s">
        <v>910</v>
      </c>
    </row>
    <row r="823" spans="1:14" x14ac:dyDescent="0.3">
      <c r="A823" s="2" t="s">
        <v>14</v>
      </c>
      <c r="B823" s="2" t="s">
        <v>15</v>
      </c>
      <c r="C823" s="2" t="s">
        <v>16</v>
      </c>
      <c r="D823" s="2" t="str">
        <f>("068712")</f>
        <v>068712</v>
      </c>
      <c r="E823" s="2" t="str">
        <f>("622454687127")</f>
        <v>622454687127</v>
      </c>
      <c r="G823" s="2" t="s">
        <v>912</v>
      </c>
      <c r="H823" s="5">
        <v>5787.16</v>
      </c>
      <c r="I823" s="2" t="s">
        <v>18</v>
      </c>
      <c r="J823" s="3">
        <v>43013</v>
      </c>
      <c r="K823" s="2">
        <v>1.054</v>
      </c>
      <c r="L823" s="2">
        <v>2.3239999999999998</v>
      </c>
      <c r="N823" s="2" t="s">
        <v>910</v>
      </c>
    </row>
    <row r="824" spans="1:14" x14ac:dyDescent="0.3">
      <c r="A824" s="2" t="s">
        <v>14</v>
      </c>
      <c r="B824" s="2" t="s">
        <v>15</v>
      </c>
      <c r="C824" s="2" t="s">
        <v>16</v>
      </c>
      <c r="D824" s="2" t="str">
        <f>("178104")</f>
        <v>178104</v>
      </c>
      <c r="E824" s="2" t="str">
        <f>("622454197558")</f>
        <v>622454197558</v>
      </c>
      <c r="G824" s="2" t="s">
        <v>913</v>
      </c>
      <c r="H824" s="5">
        <v>5006.87</v>
      </c>
      <c r="I824" s="2" t="s">
        <v>18</v>
      </c>
      <c r="J824" s="3">
        <v>43013</v>
      </c>
      <c r="K824" s="2">
        <v>0.35499999999999998</v>
      </c>
      <c r="L824" s="2">
        <v>0.78300000000000003</v>
      </c>
      <c r="N824" s="2" t="s">
        <v>910</v>
      </c>
    </row>
    <row r="825" spans="1:14" x14ac:dyDescent="0.3">
      <c r="A825" s="2" t="s">
        <v>14</v>
      </c>
      <c r="B825" s="2" t="s">
        <v>15</v>
      </c>
      <c r="C825" s="2" t="s">
        <v>16</v>
      </c>
      <c r="D825" s="2" t="str">
        <f>("068713")</f>
        <v>068713</v>
      </c>
      <c r="E825" s="2" t="str">
        <f>("622454687134")</f>
        <v>622454687134</v>
      </c>
      <c r="G825" s="2" t="s">
        <v>914</v>
      </c>
      <c r="H825" s="5">
        <v>6119</v>
      </c>
      <c r="I825" s="2" t="s">
        <v>18</v>
      </c>
      <c r="J825" s="3">
        <v>43013</v>
      </c>
      <c r="K825" s="2">
        <v>2.72</v>
      </c>
      <c r="L825" s="2">
        <v>5.9969999999999999</v>
      </c>
      <c r="N825" s="2" t="s">
        <v>910</v>
      </c>
    </row>
    <row r="826" spans="1:14" x14ac:dyDescent="0.3">
      <c r="A826" s="2" t="s">
        <v>14</v>
      </c>
      <c r="B826" s="2" t="s">
        <v>15</v>
      </c>
      <c r="C826" s="2" t="s">
        <v>16</v>
      </c>
      <c r="D826" s="2" t="str">
        <f>("068714")</f>
        <v>068714</v>
      </c>
      <c r="E826" s="2" t="str">
        <f>("622454687141")</f>
        <v>622454687141</v>
      </c>
      <c r="G826" s="2" t="s">
        <v>915</v>
      </c>
      <c r="H826" s="5">
        <v>9215.5</v>
      </c>
      <c r="I826" s="2" t="s">
        <v>18</v>
      </c>
      <c r="J826" s="3">
        <v>43013</v>
      </c>
      <c r="K826" s="2">
        <v>2.5369999999999999</v>
      </c>
      <c r="L826" s="2">
        <v>5.593</v>
      </c>
      <c r="N826" s="2" t="s">
        <v>910</v>
      </c>
    </row>
    <row r="827" spans="1:14" x14ac:dyDescent="0.3">
      <c r="A827" s="2" t="s">
        <v>14</v>
      </c>
      <c r="B827" s="2" t="s">
        <v>15</v>
      </c>
      <c r="C827" s="2" t="s">
        <v>16</v>
      </c>
      <c r="D827" s="2" t="str">
        <f>("068715")</f>
        <v>068715</v>
      </c>
      <c r="E827" s="2" t="str">
        <f>("622454687158")</f>
        <v>622454687158</v>
      </c>
      <c r="G827" s="2" t="s">
        <v>916</v>
      </c>
      <c r="H827" s="5">
        <v>10881.47</v>
      </c>
      <c r="I827" s="2" t="s">
        <v>18</v>
      </c>
      <c r="J827" s="3">
        <v>43013</v>
      </c>
      <c r="K827" s="2">
        <v>7.9850000000000003</v>
      </c>
      <c r="L827" s="2">
        <v>17.603999999999999</v>
      </c>
      <c r="N827" s="2" t="s">
        <v>910</v>
      </c>
    </row>
    <row r="828" spans="1:14" x14ac:dyDescent="0.3">
      <c r="A828" s="2" t="s">
        <v>14</v>
      </c>
      <c r="B828" s="2" t="s">
        <v>15</v>
      </c>
      <c r="C828" s="2" t="s">
        <v>16</v>
      </c>
      <c r="D828" s="2" t="str">
        <f>("068716")</f>
        <v>068716</v>
      </c>
      <c r="E828" s="2" t="str">
        <f>("622454687165")</f>
        <v>622454687165</v>
      </c>
      <c r="G828" s="2" t="s">
        <v>917</v>
      </c>
      <c r="H828" s="5">
        <v>19668.53</v>
      </c>
      <c r="I828" s="2" t="s">
        <v>18</v>
      </c>
      <c r="J828" s="3">
        <v>43013</v>
      </c>
      <c r="K828" s="2">
        <v>7.3789999999999996</v>
      </c>
      <c r="L828" s="2">
        <v>16.268000000000001</v>
      </c>
      <c r="N828" s="2" t="s">
        <v>910</v>
      </c>
    </row>
    <row r="829" spans="1:14" x14ac:dyDescent="0.3">
      <c r="A829" s="2" t="s">
        <v>14</v>
      </c>
      <c r="B829" s="2" t="s">
        <v>15</v>
      </c>
      <c r="C829" s="2" t="s">
        <v>16</v>
      </c>
      <c r="D829" s="2" t="str">
        <f>("078374")</f>
        <v>078374</v>
      </c>
      <c r="E829" s="2" t="str">
        <f>("622454783744")</f>
        <v>622454783744</v>
      </c>
      <c r="G829" s="2" t="s">
        <v>918</v>
      </c>
      <c r="H829" s="5">
        <v>4242.2700000000004</v>
      </c>
      <c r="I829" s="2" t="s">
        <v>18</v>
      </c>
      <c r="J829" s="3">
        <v>43013</v>
      </c>
      <c r="K829" s="2">
        <v>0.624</v>
      </c>
      <c r="L829" s="2">
        <v>1.3759999999999999</v>
      </c>
      <c r="N829" s="2">
        <v>78</v>
      </c>
    </row>
    <row r="830" spans="1:14" x14ac:dyDescent="0.3">
      <c r="A830" s="2" t="s">
        <v>14</v>
      </c>
      <c r="B830" s="2" t="s">
        <v>15</v>
      </c>
      <c r="C830" s="2" t="s">
        <v>16</v>
      </c>
      <c r="D830" s="2" t="str">
        <f>("068735")</f>
        <v>068735</v>
      </c>
      <c r="E830" s="2" t="str">
        <f>("622454687356")</f>
        <v>622454687356</v>
      </c>
      <c r="G830" s="2" t="s">
        <v>919</v>
      </c>
      <c r="H830" s="5">
        <v>6309.59</v>
      </c>
      <c r="I830" s="2" t="s">
        <v>18</v>
      </c>
      <c r="J830" s="3">
        <v>43013</v>
      </c>
      <c r="K830" s="2">
        <v>1.155</v>
      </c>
      <c r="L830" s="2">
        <v>2.5459999999999998</v>
      </c>
      <c r="N830" s="2" t="s">
        <v>910</v>
      </c>
    </row>
    <row r="831" spans="1:14" x14ac:dyDescent="0.3">
      <c r="A831" s="2" t="s">
        <v>14</v>
      </c>
      <c r="B831" s="2" t="s">
        <v>15</v>
      </c>
      <c r="C831" s="2" t="s">
        <v>16</v>
      </c>
      <c r="D831" s="2" t="str">
        <f>("078854")</f>
        <v>078854</v>
      </c>
      <c r="E831" s="2" t="str">
        <f>("622454788541")</f>
        <v>622454788541</v>
      </c>
      <c r="G831" s="2" t="s">
        <v>920</v>
      </c>
      <c r="H831" s="5">
        <v>5596.57</v>
      </c>
      <c r="I831" s="2" t="s">
        <v>18</v>
      </c>
      <c r="J831" s="3">
        <v>43013</v>
      </c>
      <c r="K831" s="2">
        <v>1.0429999999999999</v>
      </c>
      <c r="L831" s="2">
        <v>2.2989999999999999</v>
      </c>
      <c r="N831" s="2" t="s">
        <v>910</v>
      </c>
    </row>
    <row r="832" spans="1:14" x14ac:dyDescent="0.3">
      <c r="A832" s="2" t="s">
        <v>14</v>
      </c>
      <c r="B832" s="2" t="s">
        <v>15</v>
      </c>
      <c r="C832" s="2" t="s">
        <v>16</v>
      </c>
      <c r="D832" s="2" t="str">
        <f>("078113")</f>
        <v>078113</v>
      </c>
      <c r="E832" s="2" t="str">
        <f>("622454781139")</f>
        <v>622454781139</v>
      </c>
      <c r="G832" s="2" t="s">
        <v>921</v>
      </c>
      <c r="H832" s="5">
        <v>5365.62</v>
      </c>
      <c r="I832" s="2" t="s">
        <v>18</v>
      </c>
      <c r="J832" s="3">
        <v>43013</v>
      </c>
      <c r="K832" s="2">
        <v>0.52500000000000002</v>
      </c>
      <c r="L832" s="2">
        <v>1.157</v>
      </c>
      <c r="N832" s="2">
        <v>78</v>
      </c>
    </row>
    <row r="833" spans="1:14" x14ac:dyDescent="0.3">
      <c r="A833" s="2" t="s">
        <v>14</v>
      </c>
      <c r="B833" s="2" t="s">
        <v>15</v>
      </c>
      <c r="C833" s="2" t="s">
        <v>16</v>
      </c>
      <c r="D833" s="2" t="str">
        <f>("068736")</f>
        <v>068736</v>
      </c>
      <c r="E833" s="2" t="str">
        <f>("622454687363")</f>
        <v>622454687363</v>
      </c>
      <c r="G833" s="2" t="s">
        <v>922</v>
      </c>
      <c r="H833" s="5">
        <v>6746.82</v>
      </c>
      <c r="I833" s="2" t="s">
        <v>18</v>
      </c>
      <c r="J833" s="3">
        <v>43013</v>
      </c>
      <c r="K833" s="2">
        <v>2.7010000000000001</v>
      </c>
      <c r="L833" s="2">
        <v>5.9550000000000001</v>
      </c>
      <c r="N833" s="2" t="s">
        <v>910</v>
      </c>
    </row>
    <row r="834" spans="1:14" x14ac:dyDescent="0.3">
      <c r="A834" s="2" t="s">
        <v>14</v>
      </c>
      <c r="B834" s="2" t="s">
        <v>15</v>
      </c>
      <c r="C834" s="2" t="s">
        <v>16</v>
      </c>
      <c r="D834" s="2" t="str">
        <f>("068530")</f>
        <v>068530</v>
      </c>
      <c r="E834" s="2" t="str">
        <f>("622454685307")</f>
        <v>622454685307</v>
      </c>
      <c r="G834" s="2" t="s">
        <v>923</v>
      </c>
      <c r="H834" s="5">
        <v>4973.2299999999996</v>
      </c>
      <c r="I834" s="2" t="s">
        <v>18</v>
      </c>
      <c r="J834" s="3">
        <v>43013</v>
      </c>
      <c r="K834" s="2">
        <v>0.83499999999999996</v>
      </c>
      <c r="L834" s="2">
        <v>1.841</v>
      </c>
      <c r="N834" s="2" t="s">
        <v>910</v>
      </c>
    </row>
    <row r="835" spans="1:14" x14ac:dyDescent="0.3">
      <c r="A835" s="2" t="s">
        <v>14</v>
      </c>
      <c r="B835" s="2" t="s">
        <v>15</v>
      </c>
      <c r="C835" s="2" t="s">
        <v>16</v>
      </c>
      <c r="D835" s="2" t="str">
        <f>("068737")</f>
        <v>068737</v>
      </c>
      <c r="E835" s="2" t="str">
        <f>("622454687370")</f>
        <v>622454687370</v>
      </c>
      <c r="G835" s="2" t="s">
        <v>924</v>
      </c>
      <c r="H835" s="5">
        <v>11267.13</v>
      </c>
      <c r="I835" s="2" t="s">
        <v>18</v>
      </c>
      <c r="J835" s="3">
        <v>43013</v>
      </c>
      <c r="K835" s="2">
        <v>3.806</v>
      </c>
      <c r="L835" s="2">
        <v>8.391</v>
      </c>
      <c r="N835" s="2" t="s">
        <v>910</v>
      </c>
    </row>
    <row r="836" spans="1:14" x14ac:dyDescent="0.3">
      <c r="A836" s="2" t="s">
        <v>14</v>
      </c>
      <c r="B836" s="2" t="s">
        <v>15</v>
      </c>
      <c r="C836" s="2" t="s">
        <v>16</v>
      </c>
      <c r="D836" s="2" t="str">
        <f>("068531")</f>
        <v>068531</v>
      </c>
      <c r="E836" s="2" t="str">
        <f>("622454685314")</f>
        <v>622454685314</v>
      </c>
      <c r="G836" s="2" t="s">
        <v>925</v>
      </c>
      <c r="H836" s="5">
        <v>6677.31</v>
      </c>
      <c r="I836" s="2" t="s">
        <v>18</v>
      </c>
      <c r="J836" s="3">
        <v>43013</v>
      </c>
      <c r="K836" s="2">
        <v>1.3149999999999999</v>
      </c>
      <c r="L836" s="2">
        <v>2.899</v>
      </c>
      <c r="N836" s="2" t="s">
        <v>910</v>
      </c>
    </row>
    <row r="837" spans="1:14" x14ac:dyDescent="0.3">
      <c r="A837" s="2" t="s">
        <v>14</v>
      </c>
      <c r="B837" s="2" t="s">
        <v>15</v>
      </c>
      <c r="C837" s="2" t="s">
        <v>16</v>
      </c>
      <c r="D837" s="2" t="str">
        <f>("068738")</f>
        <v>068738</v>
      </c>
      <c r="E837" s="2" t="str">
        <f>("622454687387")</f>
        <v>622454687387</v>
      </c>
      <c r="G837" s="2" t="s">
        <v>926</v>
      </c>
      <c r="H837" s="5">
        <v>13491.4</v>
      </c>
      <c r="I837" s="2" t="s">
        <v>18</v>
      </c>
      <c r="J837" s="3">
        <v>43013</v>
      </c>
      <c r="K837" s="2">
        <v>7.9850000000000003</v>
      </c>
      <c r="L837" s="2">
        <v>17.603999999999999</v>
      </c>
      <c r="N837" s="2" t="s">
        <v>910</v>
      </c>
    </row>
    <row r="838" spans="1:14" x14ac:dyDescent="0.3">
      <c r="A838" s="2" t="s">
        <v>14</v>
      </c>
      <c r="B838" s="2" t="s">
        <v>15</v>
      </c>
      <c r="C838" s="2" t="s">
        <v>16</v>
      </c>
      <c r="D838" s="2" t="str">
        <f>("068532")</f>
        <v>068532</v>
      </c>
      <c r="E838" s="2" t="str">
        <f>("622454685321")</f>
        <v>622454685321</v>
      </c>
      <c r="G838" s="2" t="s">
        <v>927</v>
      </c>
      <c r="H838" s="5">
        <v>8832.08</v>
      </c>
      <c r="I838" s="2" t="s">
        <v>18</v>
      </c>
      <c r="J838" s="3">
        <v>43013</v>
      </c>
      <c r="K838" s="2">
        <v>1.76</v>
      </c>
      <c r="L838" s="2">
        <v>3.88</v>
      </c>
      <c r="N838" s="2" t="s">
        <v>910</v>
      </c>
    </row>
    <row r="839" spans="1:14" x14ac:dyDescent="0.3">
      <c r="A839" s="2" t="s">
        <v>14</v>
      </c>
      <c r="B839" s="2" t="s">
        <v>15</v>
      </c>
      <c r="C839" s="2" t="s">
        <v>16</v>
      </c>
      <c r="D839" s="2" t="str">
        <f>("068739")</f>
        <v>068739</v>
      </c>
      <c r="E839" s="2" t="str">
        <f>("622454687394")</f>
        <v>622454687394</v>
      </c>
      <c r="G839" s="2" t="s">
        <v>928</v>
      </c>
      <c r="H839" s="5">
        <v>19370.490000000002</v>
      </c>
      <c r="I839" s="2" t="s">
        <v>18</v>
      </c>
      <c r="J839" s="3">
        <v>43013</v>
      </c>
      <c r="K839" s="2">
        <v>7.3789999999999996</v>
      </c>
      <c r="L839" s="2">
        <v>16.268000000000001</v>
      </c>
      <c r="N839" s="2" t="s">
        <v>910</v>
      </c>
    </row>
    <row r="840" spans="1:14" x14ac:dyDescent="0.3">
      <c r="A840" s="2" t="s">
        <v>14</v>
      </c>
      <c r="B840" s="2" t="s">
        <v>15</v>
      </c>
      <c r="C840" s="2" t="s">
        <v>16</v>
      </c>
      <c r="D840" s="2" t="str">
        <f>("068533")</f>
        <v>068533</v>
      </c>
      <c r="E840" s="2" t="str">
        <f>("622454685338")</f>
        <v>622454685338</v>
      </c>
      <c r="G840" s="2" t="s">
        <v>929</v>
      </c>
      <c r="H840" s="5">
        <v>14847.94</v>
      </c>
      <c r="I840" s="2" t="s">
        <v>18</v>
      </c>
      <c r="J840" s="3">
        <v>43013</v>
      </c>
      <c r="K840" s="2">
        <v>2.5760000000000001</v>
      </c>
      <c r="L840" s="2">
        <v>5.6790000000000003</v>
      </c>
      <c r="N840" s="2" t="s">
        <v>910</v>
      </c>
    </row>
    <row r="841" spans="1:14" x14ac:dyDescent="0.3">
      <c r="A841" s="2" t="s">
        <v>14</v>
      </c>
      <c r="B841" s="2" t="s">
        <v>15</v>
      </c>
      <c r="C841" s="2" t="s">
        <v>16</v>
      </c>
      <c r="D841" s="2" t="str">
        <f>("078910")</f>
        <v>078910</v>
      </c>
      <c r="E841" s="2" t="str">
        <f>("622454789104")</f>
        <v>622454789104</v>
      </c>
      <c r="G841" s="2" t="s">
        <v>930</v>
      </c>
      <c r="H841" s="5">
        <v>10560.36</v>
      </c>
      <c r="I841" s="2" t="s">
        <v>18</v>
      </c>
      <c r="J841" s="3">
        <v>43013</v>
      </c>
      <c r="K841" s="2">
        <v>2.254</v>
      </c>
      <c r="L841" s="2">
        <v>4.9690000000000003</v>
      </c>
      <c r="N841" s="2" t="s">
        <v>910</v>
      </c>
    </row>
    <row r="842" spans="1:14" x14ac:dyDescent="0.3">
      <c r="A842" s="2" t="s">
        <v>14</v>
      </c>
      <c r="B842" s="2" t="s">
        <v>15</v>
      </c>
      <c r="C842" s="2" t="s">
        <v>16</v>
      </c>
      <c r="D842" s="2" t="str">
        <f>("078524")</f>
        <v>078524</v>
      </c>
      <c r="E842" s="2" t="str">
        <f>("622454785243")</f>
        <v>622454785243</v>
      </c>
      <c r="G842" s="2" t="s">
        <v>931</v>
      </c>
      <c r="H842" s="5">
        <v>17379.21</v>
      </c>
      <c r="I842" s="2" t="s">
        <v>18</v>
      </c>
      <c r="J842" s="3">
        <v>43013</v>
      </c>
      <c r="K842" s="2">
        <v>1</v>
      </c>
      <c r="L842" s="2">
        <v>2.2050000000000001</v>
      </c>
      <c r="N842" s="2" t="s">
        <v>910</v>
      </c>
    </row>
    <row r="843" spans="1:14" x14ac:dyDescent="0.3">
      <c r="A843" s="2" t="s">
        <v>14</v>
      </c>
      <c r="B843" s="2" t="s">
        <v>15</v>
      </c>
      <c r="C843" s="2" t="s">
        <v>16</v>
      </c>
      <c r="D843" s="2" t="str">
        <f>("078525")</f>
        <v>078525</v>
      </c>
      <c r="E843" s="2" t="str">
        <f>("622454785250")</f>
        <v>622454785250</v>
      </c>
      <c r="G843" s="2" t="s">
        <v>932</v>
      </c>
      <c r="H843" s="5">
        <v>22209.06</v>
      </c>
      <c r="I843" s="2" t="s">
        <v>18</v>
      </c>
      <c r="J843" s="3">
        <v>43013</v>
      </c>
      <c r="K843" s="2">
        <v>3.55</v>
      </c>
      <c r="L843" s="2">
        <v>7.8259999999999996</v>
      </c>
      <c r="N843" s="2" t="s">
        <v>910</v>
      </c>
    </row>
    <row r="844" spans="1:14" x14ac:dyDescent="0.3">
      <c r="A844" s="2" t="s">
        <v>14</v>
      </c>
      <c r="B844" s="2" t="s">
        <v>15</v>
      </c>
      <c r="C844" s="2" t="s">
        <v>16</v>
      </c>
      <c r="D844" s="2" t="str">
        <f>("068549")</f>
        <v>068549</v>
      </c>
      <c r="E844" s="2" t="str">
        <f>("622454685499")</f>
        <v>622454685499</v>
      </c>
      <c r="G844" s="2" t="s">
        <v>933</v>
      </c>
      <c r="H844" s="5">
        <v>32345.19</v>
      </c>
      <c r="I844" s="2" t="s">
        <v>18</v>
      </c>
      <c r="J844" s="3">
        <v>43013</v>
      </c>
      <c r="K844" s="2">
        <v>6.1189999999999998</v>
      </c>
      <c r="L844" s="2">
        <v>13.49</v>
      </c>
      <c r="N844" s="2" t="s">
        <v>910</v>
      </c>
    </row>
    <row r="845" spans="1:14" x14ac:dyDescent="0.3">
      <c r="A845" s="2" t="s">
        <v>14</v>
      </c>
      <c r="B845" s="2" t="s">
        <v>15</v>
      </c>
      <c r="C845" s="2" t="s">
        <v>16</v>
      </c>
      <c r="D845" s="2" t="str">
        <f>("078373")</f>
        <v>078373</v>
      </c>
      <c r="E845" s="2" t="str">
        <f>("622454783737")</f>
        <v>622454783737</v>
      </c>
      <c r="G845" s="2" t="s">
        <v>934</v>
      </c>
      <c r="H845" s="5">
        <v>42220.55</v>
      </c>
      <c r="I845" s="2" t="s">
        <v>18</v>
      </c>
      <c r="J845" s="3">
        <v>43013</v>
      </c>
      <c r="K845" s="2">
        <v>9.17</v>
      </c>
      <c r="L845" s="2">
        <v>20.216000000000001</v>
      </c>
      <c r="N845" s="2" t="s">
        <v>910</v>
      </c>
    </row>
    <row r="846" spans="1:14" x14ac:dyDescent="0.3">
      <c r="A846" s="2" t="s">
        <v>14</v>
      </c>
      <c r="B846" s="2" t="s">
        <v>15</v>
      </c>
      <c r="C846" s="2" t="s">
        <v>16</v>
      </c>
      <c r="D846" s="2" t="str">
        <f>("068049")</f>
        <v>068049</v>
      </c>
      <c r="E846" s="2" t="str">
        <f>("622454236196")</f>
        <v>622454236196</v>
      </c>
      <c r="G846" s="2" t="s">
        <v>935</v>
      </c>
      <c r="H846" s="5">
        <v>4798.34</v>
      </c>
      <c r="I846" s="2" t="s">
        <v>18</v>
      </c>
      <c r="J846" s="3">
        <v>43013</v>
      </c>
      <c r="K846" s="2">
        <v>0.93600000000000005</v>
      </c>
      <c r="L846" s="2">
        <v>2.0640000000000001</v>
      </c>
      <c r="N846" s="2" t="s">
        <v>910</v>
      </c>
    </row>
    <row r="847" spans="1:14" x14ac:dyDescent="0.3">
      <c r="A847" s="2" t="s">
        <v>14</v>
      </c>
      <c r="B847" s="2" t="s">
        <v>15</v>
      </c>
      <c r="C847" s="2" t="s">
        <v>16</v>
      </c>
      <c r="D847" s="2" t="str">
        <f>("068545")</f>
        <v>068545</v>
      </c>
      <c r="E847" s="2" t="str">
        <f>("622454685451")</f>
        <v>622454685451</v>
      </c>
      <c r="G847" s="2" t="s">
        <v>936</v>
      </c>
      <c r="H847" s="5">
        <v>6536.06</v>
      </c>
      <c r="I847" s="2" t="s">
        <v>18</v>
      </c>
      <c r="J847" s="3">
        <v>43013</v>
      </c>
      <c r="K847" s="2">
        <v>1.917</v>
      </c>
      <c r="L847" s="2">
        <v>4.226</v>
      </c>
      <c r="N847" s="2" t="s">
        <v>910</v>
      </c>
    </row>
    <row r="848" spans="1:14" x14ac:dyDescent="0.3">
      <c r="A848" s="2" t="s">
        <v>14</v>
      </c>
      <c r="B848" s="2" t="s">
        <v>15</v>
      </c>
      <c r="C848" s="2" t="s">
        <v>16</v>
      </c>
      <c r="D848" s="2" t="str">
        <f>("068775")</f>
        <v>068775</v>
      </c>
      <c r="E848" s="2" t="str">
        <f>("622454687752")</f>
        <v>622454687752</v>
      </c>
      <c r="G848" s="2" t="s">
        <v>937</v>
      </c>
      <c r="H848" s="5">
        <v>9110.1200000000008</v>
      </c>
      <c r="I848" s="2" t="s">
        <v>18</v>
      </c>
      <c r="J848" s="3">
        <v>43013</v>
      </c>
      <c r="K848" s="2">
        <v>2.7010000000000001</v>
      </c>
      <c r="L848" s="2">
        <v>5.9550000000000001</v>
      </c>
      <c r="N848" s="2" t="s">
        <v>910</v>
      </c>
    </row>
    <row r="849" spans="1:14" x14ac:dyDescent="0.3">
      <c r="A849" s="2" t="s">
        <v>14</v>
      </c>
      <c r="B849" s="2" t="s">
        <v>15</v>
      </c>
      <c r="C849" s="2" t="s">
        <v>16</v>
      </c>
      <c r="D849" s="2" t="str">
        <f>("068534")</f>
        <v>068534</v>
      </c>
      <c r="E849" s="2" t="str">
        <f>("622454685345")</f>
        <v>622454685345</v>
      </c>
      <c r="G849" s="2" t="s">
        <v>938</v>
      </c>
      <c r="H849" s="5">
        <v>6119</v>
      </c>
      <c r="I849" s="2" t="s">
        <v>18</v>
      </c>
      <c r="J849" s="3">
        <v>43013</v>
      </c>
      <c r="K849" s="2">
        <v>1.1970000000000001</v>
      </c>
      <c r="L849" s="2">
        <v>2.6389999999999998</v>
      </c>
      <c r="N849" s="2" t="s">
        <v>910</v>
      </c>
    </row>
    <row r="850" spans="1:14" x14ac:dyDescent="0.3">
      <c r="A850" s="2" t="s">
        <v>14</v>
      </c>
      <c r="B850" s="2" t="s">
        <v>15</v>
      </c>
      <c r="C850" s="2" t="s">
        <v>16</v>
      </c>
      <c r="D850" s="2" t="str">
        <f>("068776")</f>
        <v>068776</v>
      </c>
      <c r="E850" s="2" t="str">
        <f>("622454687769")</f>
        <v>622454687769</v>
      </c>
      <c r="G850" s="2" t="s">
        <v>939</v>
      </c>
      <c r="H850" s="5">
        <v>13977.97</v>
      </c>
      <c r="I850" s="2" t="s">
        <v>18</v>
      </c>
      <c r="J850" s="3">
        <v>43013</v>
      </c>
      <c r="K850" s="2">
        <v>3.806</v>
      </c>
      <c r="L850" s="2">
        <v>8.391</v>
      </c>
      <c r="N850" s="2" t="s">
        <v>910</v>
      </c>
    </row>
    <row r="851" spans="1:14" x14ac:dyDescent="0.3">
      <c r="A851" s="2" t="s">
        <v>14</v>
      </c>
      <c r="B851" s="2" t="s">
        <v>15</v>
      </c>
      <c r="C851" s="2" t="s">
        <v>16</v>
      </c>
      <c r="D851" s="2" t="str">
        <f>("068535")</f>
        <v>068535</v>
      </c>
      <c r="E851" s="2" t="str">
        <f>("622454685352")</f>
        <v>622454685352</v>
      </c>
      <c r="G851" s="2" t="s">
        <v>940</v>
      </c>
      <c r="H851" s="5">
        <v>10098.93</v>
      </c>
      <c r="I851" s="2" t="s">
        <v>18</v>
      </c>
      <c r="J851" s="3">
        <v>43013</v>
      </c>
      <c r="K851" s="2">
        <v>1.8089999999999999</v>
      </c>
      <c r="L851" s="2">
        <v>3.988</v>
      </c>
      <c r="N851" s="2" t="s">
        <v>910</v>
      </c>
    </row>
    <row r="852" spans="1:14" x14ac:dyDescent="0.3">
      <c r="A852" s="2" t="s">
        <v>14</v>
      </c>
      <c r="B852" s="2" t="s">
        <v>15</v>
      </c>
      <c r="C852" s="2" t="s">
        <v>16</v>
      </c>
      <c r="D852" s="2" t="str">
        <f>("068777")</f>
        <v>068777</v>
      </c>
      <c r="E852" s="2" t="str">
        <f>("622454687776")</f>
        <v>622454687776</v>
      </c>
      <c r="G852" s="2" t="s">
        <v>941</v>
      </c>
      <c r="H852" s="5">
        <v>18081.22</v>
      </c>
      <c r="I852" s="2" t="s">
        <v>18</v>
      </c>
      <c r="J852" s="3">
        <v>43013</v>
      </c>
      <c r="K852" s="2">
        <v>7.9850000000000003</v>
      </c>
      <c r="L852" s="2">
        <v>17.603999999999999</v>
      </c>
      <c r="N852" s="2" t="s">
        <v>910</v>
      </c>
    </row>
    <row r="853" spans="1:14" x14ac:dyDescent="0.3">
      <c r="A853" s="2" t="s">
        <v>14</v>
      </c>
      <c r="B853" s="2" t="s">
        <v>15</v>
      </c>
      <c r="C853" s="2" t="s">
        <v>16</v>
      </c>
      <c r="D853" s="2" t="str">
        <f>("068536")</f>
        <v>068536</v>
      </c>
      <c r="E853" s="2" t="str">
        <f>("622454685369")</f>
        <v>622454685369</v>
      </c>
      <c r="G853" s="2" t="s">
        <v>942</v>
      </c>
      <c r="H853" s="5">
        <v>11650.55</v>
      </c>
      <c r="I853" s="2" t="s">
        <v>18</v>
      </c>
      <c r="J853" s="3">
        <v>43013</v>
      </c>
      <c r="K853" s="2">
        <v>4.3540000000000001</v>
      </c>
      <c r="L853" s="2">
        <v>9.5990000000000002</v>
      </c>
      <c r="N853" s="2" t="s">
        <v>910</v>
      </c>
    </row>
    <row r="854" spans="1:14" x14ac:dyDescent="0.3">
      <c r="A854" s="2" t="s">
        <v>14</v>
      </c>
      <c r="B854" s="2" t="s">
        <v>15</v>
      </c>
      <c r="C854" s="2" t="s">
        <v>16</v>
      </c>
      <c r="D854" s="2" t="str">
        <f>("068778")</f>
        <v>068778</v>
      </c>
      <c r="E854" s="2" t="str">
        <f>("622454687783")</f>
        <v>622454687783</v>
      </c>
      <c r="G854" s="2" t="s">
        <v>943</v>
      </c>
      <c r="H854" s="5">
        <v>27018.69</v>
      </c>
      <c r="I854" s="2" t="s">
        <v>18</v>
      </c>
      <c r="J854" s="3">
        <v>43013</v>
      </c>
      <c r="K854" s="2">
        <v>7.3789999999999996</v>
      </c>
      <c r="L854" s="2">
        <v>16.268000000000001</v>
      </c>
      <c r="N854" s="2" t="s">
        <v>910</v>
      </c>
    </row>
    <row r="855" spans="1:14" x14ac:dyDescent="0.3">
      <c r="A855" s="2" t="s">
        <v>14</v>
      </c>
      <c r="B855" s="2" t="s">
        <v>15</v>
      </c>
      <c r="C855" s="2" t="s">
        <v>16</v>
      </c>
      <c r="D855" s="2" t="str">
        <f>("068537")</f>
        <v>068537</v>
      </c>
      <c r="E855" s="2" t="str">
        <f>("622454685376")</f>
        <v>622454685376</v>
      </c>
      <c r="G855" s="2" t="s">
        <v>944</v>
      </c>
      <c r="H855" s="5">
        <v>15509.4</v>
      </c>
      <c r="I855" s="2" t="s">
        <v>18</v>
      </c>
      <c r="J855" s="3">
        <v>43013</v>
      </c>
      <c r="K855" s="2">
        <v>7.3789999999999996</v>
      </c>
      <c r="L855" s="2">
        <v>16.268000000000001</v>
      </c>
      <c r="N855" s="2" t="s">
        <v>910</v>
      </c>
    </row>
    <row r="856" spans="1:14" x14ac:dyDescent="0.3">
      <c r="A856" s="2" t="s">
        <v>14</v>
      </c>
      <c r="B856" s="2" t="s">
        <v>15</v>
      </c>
      <c r="C856" s="2" t="s">
        <v>16</v>
      </c>
      <c r="D856" s="2" t="str">
        <f>("068779")</f>
        <v>068779</v>
      </c>
      <c r="E856" s="2" t="str">
        <f>("622454687790")</f>
        <v>622454687790</v>
      </c>
      <c r="G856" s="2" t="s">
        <v>945</v>
      </c>
      <c r="H856" s="5">
        <v>37240.94</v>
      </c>
      <c r="I856" s="2" t="s">
        <v>18</v>
      </c>
      <c r="J856" s="3">
        <v>43013</v>
      </c>
      <c r="K856" s="2">
        <v>19.491</v>
      </c>
      <c r="L856" s="2">
        <v>42.97</v>
      </c>
      <c r="N856" s="2" t="s">
        <v>910</v>
      </c>
    </row>
    <row r="857" spans="1:14" x14ac:dyDescent="0.3">
      <c r="A857" s="2" t="s">
        <v>14</v>
      </c>
      <c r="B857" s="2" t="s">
        <v>15</v>
      </c>
      <c r="C857" s="2" t="s">
        <v>16</v>
      </c>
      <c r="D857" s="2" t="str">
        <f>("068538")</f>
        <v>068538</v>
      </c>
      <c r="E857" s="2" t="str">
        <f>("622454685383")</f>
        <v>622454685383</v>
      </c>
      <c r="G857" s="2" t="s">
        <v>946</v>
      </c>
      <c r="H857" s="5">
        <v>36023.42</v>
      </c>
      <c r="I857" s="2" t="s">
        <v>18</v>
      </c>
      <c r="J857" s="3">
        <v>43013</v>
      </c>
      <c r="K857" s="2">
        <v>9.6790000000000003</v>
      </c>
      <c r="L857" s="2">
        <v>21.338999999999999</v>
      </c>
      <c r="N857" s="2" t="s">
        <v>910</v>
      </c>
    </row>
    <row r="858" spans="1:14" x14ac:dyDescent="0.3">
      <c r="A858" s="2" t="s">
        <v>14</v>
      </c>
      <c r="B858" s="2" t="s">
        <v>15</v>
      </c>
      <c r="C858" s="2" t="s">
        <v>16</v>
      </c>
      <c r="D858" s="2" t="str">
        <f>("068540")</f>
        <v>068540</v>
      </c>
      <c r="E858" s="2" t="str">
        <f>("622454685406")</f>
        <v>622454685406</v>
      </c>
      <c r="G858" s="2" t="s">
        <v>947</v>
      </c>
      <c r="H858" s="5">
        <v>49584.33</v>
      </c>
      <c r="I858" s="2" t="s">
        <v>18</v>
      </c>
      <c r="J858" s="3">
        <v>43013</v>
      </c>
      <c r="K858" s="2">
        <v>17.882000000000001</v>
      </c>
      <c r="L858" s="2">
        <v>39.423000000000002</v>
      </c>
      <c r="N858" s="2" t="s">
        <v>910</v>
      </c>
    </row>
    <row r="859" spans="1:14" x14ac:dyDescent="0.3">
      <c r="A859" s="2" t="s">
        <v>14</v>
      </c>
      <c r="B859" s="2" t="s">
        <v>15</v>
      </c>
      <c r="C859" s="2" t="s">
        <v>16</v>
      </c>
      <c r="D859" s="2" t="str">
        <f>("068539")</f>
        <v>068539</v>
      </c>
      <c r="E859" s="2" t="str">
        <f>("622454685390")</f>
        <v>622454685390</v>
      </c>
      <c r="G859" s="2" t="s">
        <v>948</v>
      </c>
      <c r="H859" s="5">
        <v>34980.79</v>
      </c>
      <c r="I859" s="2" t="s">
        <v>18</v>
      </c>
      <c r="J859" s="3">
        <v>43013</v>
      </c>
      <c r="K859" s="2">
        <v>8.02</v>
      </c>
      <c r="L859" s="2">
        <v>17.681000000000001</v>
      </c>
      <c r="N859" s="2" t="s">
        <v>910</v>
      </c>
    </row>
    <row r="860" spans="1:14" x14ac:dyDescent="0.3">
      <c r="A860" s="2" t="s">
        <v>14</v>
      </c>
      <c r="B860" s="2" t="s">
        <v>15</v>
      </c>
      <c r="C860" s="2" t="s">
        <v>16</v>
      </c>
      <c r="D860" s="2" t="str">
        <f>("068541")</f>
        <v>068541</v>
      </c>
      <c r="E860" s="2" t="str">
        <f>("622454685413")</f>
        <v>622454685413</v>
      </c>
      <c r="G860" s="2" t="s">
        <v>949</v>
      </c>
      <c r="H860" s="5">
        <v>7408.28</v>
      </c>
      <c r="I860" s="2" t="s">
        <v>18</v>
      </c>
      <c r="J860" s="3">
        <v>43013</v>
      </c>
      <c r="K860" s="2">
        <v>1.131</v>
      </c>
      <c r="L860" s="2">
        <v>2.4929999999999999</v>
      </c>
      <c r="N860" s="2" t="s">
        <v>910</v>
      </c>
    </row>
    <row r="861" spans="1:14" x14ac:dyDescent="0.3">
      <c r="A861" s="2" t="s">
        <v>14</v>
      </c>
      <c r="B861" s="2" t="s">
        <v>15</v>
      </c>
      <c r="C861" s="2" t="s">
        <v>16</v>
      </c>
      <c r="D861" s="2" t="str">
        <f>("068542")</f>
        <v>068542</v>
      </c>
      <c r="E861" s="2" t="str">
        <f>("622454685420")</f>
        <v>622454685420</v>
      </c>
      <c r="G861" s="2" t="s">
        <v>950</v>
      </c>
      <c r="H861" s="5">
        <v>10009.25</v>
      </c>
      <c r="I861" s="2" t="s">
        <v>18</v>
      </c>
      <c r="J861" s="3">
        <v>43013</v>
      </c>
      <c r="K861" s="2">
        <v>1E-3</v>
      </c>
      <c r="L861" s="2">
        <v>2E-3</v>
      </c>
      <c r="N861" s="2" t="s">
        <v>910</v>
      </c>
    </row>
    <row r="862" spans="1:14" x14ac:dyDescent="0.3">
      <c r="A862" s="2" t="s">
        <v>14</v>
      </c>
      <c r="B862" s="2" t="s">
        <v>15</v>
      </c>
      <c r="C862" s="2" t="s">
        <v>16</v>
      </c>
      <c r="D862" s="2" t="str">
        <f>("068543")</f>
        <v>068543</v>
      </c>
      <c r="E862" s="2" t="str">
        <f>("622454685437")</f>
        <v>622454685437</v>
      </c>
      <c r="G862" s="2" t="s">
        <v>951</v>
      </c>
      <c r="H862" s="5">
        <v>9527.17</v>
      </c>
      <c r="I862" s="2" t="s">
        <v>18</v>
      </c>
      <c r="J862" s="3">
        <v>43013</v>
      </c>
      <c r="K862" s="2">
        <v>1E-3</v>
      </c>
      <c r="L862" s="2">
        <v>2E-3</v>
      </c>
      <c r="N862" s="2" t="s">
        <v>910</v>
      </c>
    </row>
    <row r="863" spans="1:14" x14ac:dyDescent="0.3">
      <c r="A863" s="2" t="s">
        <v>14</v>
      </c>
      <c r="B863" s="2" t="s">
        <v>15</v>
      </c>
      <c r="C863" s="2" t="s">
        <v>16</v>
      </c>
      <c r="D863" s="2" t="str">
        <f>("068544")</f>
        <v>068544</v>
      </c>
      <c r="E863" s="2" t="str">
        <f>("622454685444")</f>
        <v>622454685444</v>
      </c>
      <c r="G863" s="2" t="s">
        <v>952</v>
      </c>
      <c r="H863" s="5">
        <v>12551.92</v>
      </c>
      <c r="I863" s="2" t="s">
        <v>18</v>
      </c>
      <c r="J863" s="3">
        <v>43013</v>
      </c>
      <c r="K863" s="2">
        <v>2.722</v>
      </c>
      <c r="L863" s="2">
        <v>6.0010000000000003</v>
      </c>
      <c r="N863" s="2" t="s">
        <v>910</v>
      </c>
    </row>
    <row r="864" spans="1:14" x14ac:dyDescent="0.3">
      <c r="A864" s="2" t="s">
        <v>14</v>
      </c>
      <c r="B864" s="2" t="s">
        <v>15</v>
      </c>
      <c r="C864" s="2" t="s">
        <v>16</v>
      </c>
      <c r="D864" s="2" t="str">
        <f>("078198")</f>
        <v>078198</v>
      </c>
      <c r="E864" s="2" t="str">
        <f>("622454781986")</f>
        <v>622454781986</v>
      </c>
      <c r="G864" s="2" t="s">
        <v>953</v>
      </c>
      <c r="H864" s="5">
        <v>9390.39</v>
      </c>
      <c r="I864" s="2" t="s">
        <v>18</v>
      </c>
      <c r="J864" s="3">
        <v>43013</v>
      </c>
      <c r="K864" s="2">
        <v>2.2160000000000002</v>
      </c>
      <c r="L864" s="2">
        <v>4.8849999999999998</v>
      </c>
      <c r="N864" s="2" t="s">
        <v>910</v>
      </c>
    </row>
    <row r="865" spans="1:14" x14ac:dyDescent="0.3">
      <c r="A865" s="2" t="s">
        <v>14</v>
      </c>
      <c r="B865" s="2" t="s">
        <v>15</v>
      </c>
      <c r="C865" s="2" t="s">
        <v>16</v>
      </c>
      <c r="D865" s="2" t="str">
        <f>("068548")</f>
        <v>068548</v>
      </c>
      <c r="E865" s="2" t="str">
        <f>("622454685482")</f>
        <v>622454685482</v>
      </c>
      <c r="G865" s="2" t="s">
        <v>954</v>
      </c>
      <c r="H865" s="5">
        <v>18915.32</v>
      </c>
      <c r="I865" s="2" t="s">
        <v>18</v>
      </c>
      <c r="J865" s="3">
        <v>43013</v>
      </c>
      <c r="K865" s="2">
        <v>4.1109999999999998</v>
      </c>
      <c r="L865" s="2">
        <v>9.0630000000000006</v>
      </c>
      <c r="N865" s="2" t="s">
        <v>910</v>
      </c>
    </row>
    <row r="866" spans="1:14" x14ac:dyDescent="0.3">
      <c r="A866" s="2" t="s">
        <v>14</v>
      </c>
      <c r="B866" s="2" t="s">
        <v>15</v>
      </c>
      <c r="C866" s="2" t="s">
        <v>16</v>
      </c>
      <c r="D866" s="2" t="str">
        <f>("068794")</f>
        <v>068794</v>
      </c>
      <c r="E866" s="2" t="str">
        <f>("622454687943")</f>
        <v>622454687943</v>
      </c>
      <c r="G866" s="2" t="s">
        <v>955</v>
      </c>
      <c r="H866" s="5">
        <v>24480.5</v>
      </c>
      <c r="I866" s="2" t="s">
        <v>18</v>
      </c>
      <c r="J866" s="3">
        <v>43013</v>
      </c>
      <c r="K866" s="2">
        <v>8.7089999999999996</v>
      </c>
      <c r="L866" s="2">
        <v>19.2</v>
      </c>
      <c r="N866" s="2" t="s">
        <v>910</v>
      </c>
    </row>
    <row r="867" spans="1:14" x14ac:dyDescent="0.3">
      <c r="A867" s="2" t="s">
        <v>14</v>
      </c>
      <c r="B867" s="2" t="s">
        <v>15</v>
      </c>
      <c r="C867" s="2" t="s">
        <v>16</v>
      </c>
      <c r="D867" s="2" t="str">
        <f>("068795")</f>
        <v>068795</v>
      </c>
      <c r="E867" s="2" t="str">
        <f>("622454687950")</f>
        <v>622454687950</v>
      </c>
      <c r="G867" s="2" t="s">
        <v>956</v>
      </c>
      <c r="H867" s="5">
        <v>34947.160000000003</v>
      </c>
      <c r="I867" s="2" t="s">
        <v>18</v>
      </c>
      <c r="J867" s="3">
        <v>43013</v>
      </c>
      <c r="K867" s="2">
        <v>12.747999999999999</v>
      </c>
      <c r="L867" s="2">
        <v>28.103999999999999</v>
      </c>
      <c r="N867" s="2" t="s">
        <v>910</v>
      </c>
    </row>
    <row r="868" spans="1:14" x14ac:dyDescent="0.3">
      <c r="A868" s="2" t="s">
        <v>14</v>
      </c>
      <c r="B868" s="2" t="s">
        <v>15</v>
      </c>
      <c r="C868" s="2" t="s">
        <v>16</v>
      </c>
      <c r="D868" s="2" t="str">
        <f>("078911")</f>
        <v>078911</v>
      </c>
      <c r="E868" s="2" t="str">
        <f>("622454789111")</f>
        <v>622454789111</v>
      </c>
      <c r="G868" s="2" t="s">
        <v>957</v>
      </c>
      <c r="H868" s="5">
        <v>19159.72</v>
      </c>
      <c r="I868" s="2" t="s">
        <v>18</v>
      </c>
      <c r="J868" s="3">
        <v>43013</v>
      </c>
      <c r="K868" s="2">
        <v>4.7720000000000002</v>
      </c>
      <c r="L868" s="2">
        <v>10.52</v>
      </c>
      <c r="N868" s="2" t="s">
        <v>910</v>
      </c>
    </row>
    <row r="869" spans="1:14" x14ac:dyDescent="0.3">
      <c r="A869" s="2" t="s">
        <v>14</v>
      </c>
      <c r="B869" s="2" t="s">
        <v>15</v>
      </c>
      <c r="C869" s="2" t="s">
        <v>16</v>
      </c>
      <c r="D869" s="2" t="str">
        <f>("068796")</f>
        <v>068796</v>
      </c>
      <c r="E869" s="2" t="str">
        <f>("622454687967")</f>
        <v>622454687967</v>
      </c>
      <c r="G869" s="2" t="s">
        <v>958</v>
      </c>
      <c r="H869" s="5">
        <v>47777.11</v>
      </c>
      <c r="I869" s="2" t="s">
        <v>18</v>
      </c>
      <c r="J869" s="3">
        <v>43013</v>
      </c>
      <c r="K869" s="2">
        <v>19.358000000000001</v>
      </c>
      <c r="L869" s="2">
        <v>42.677</v>
      </c>
      <c r="N869" s="2" t="s">
        <v>910</v>
      </c>
    </row>
    <row r="870" spans="1:14" x14ac:dyDescent="0.3">
      <c r="A870" s="2" t="s">
        <v>14</v>
      </c>
      <c r="B870" s="2" t="s">
        <v>15</v>
      </c>
      <c r="C870" s="2" t="s">
        <v>16</v>
      </c>
      <c r="D870" s="2" t="str">
        <f>("068546")</f>
        <v>068546</v>
      </c>
      <c r="E870" s="2" t="str">
        <f>("622454685468")</f>
        <v>622454685468</v>
      </c>
      <c r="G870" s="2" t="s">
        <v>959</v>
      </c>
      <c r="H870" s="5">
        <v>32693.25</v>
      </c>
      <c r="I870" s="2" t="s">
        <v>18</v>
      </c>
      <c r="J870" s="3">
        <v>43013</v>
      </c>
      <c r="K870" s="2">
        <v>6.36</v>
      </c>
      <c r="L870" s="2">
        <v>14.021000000000001</v>
      </c>
      <c r="N870" s="2" t="s">
        <v>910</v>
      </c>
    </row>
    <row r="871" spans="1:14" x14ac:dyDescent="0.3">
      <c r="A871" s="2" t="s">
        <v>14</v>
      </c>
      <c r="B871" s="2" t="s">
        <v>15</v>
      </c>
      <c r="C871" s="2" t="s">
        <v>16</v>
      </c>
      <c r="D871" s="2" t="str">
        <f>("068797")</f>
        <v>068797</v>
      </c>
      <c r="E871" s="2" t="str">
        <f>("622454687974")</f>
        <v>622454687974</v>
      </c>
      <c r="G871" s="2" t="s">
        <v>960</v>
      </c>
      <c r="H871" s="5">
        <v>61580.18</v>
      </c>
      <c r="I871" s="2" t="s">
        <v>18</v>
      </c>
      <c r="J871" s="3">
        <v>43013</v>
      </c>
      <c r="K871" s="2">
        <v>18.14</v>
      </c>
      <c r="L871" s="2">
        <v>39.991999999999997</v>
      </c>
      <c r="N871" s="2" t="s">
        <v>910</v>
      </c>
    </row>
    <row r="872" spans="1:14" x14ac:dyDescent="0.3">
      <c r="A872" s="2" t="s">
        <v>14</v>
      </c>
      <c r="B872" s="2" t="s">
        <v>15</v>
      </c>
      <c r="C872" s="2" t="s">
        <v>16</v>
      </c>
      <c r="D872" s="2" t="str">
        <f>("078966")</f>
        <v>078966</v>
      </c>
      <c r="E872" s="2" t="str">
        <f>("622454789661")</f>
        <v>622454789661</v>
      </c>
      <c r="G872" s="2" t="s">
        <v>961</v>
      </c>
      <c r="H872" s="5">
        <v>37797.01</v>
      </c>
      <c r="I872" s="2" t="s">
        <v>18</v>
      </c>
      <c r="J872" s="3">
        <v>43013</v>
      </c>
      <c r="K872" s="2">
        <v>9.09</v>
      </c>
      <c r="L872" s="2">
        <v>20.04</v>
      </c>
      <c r="N872" s="2" t="s">
        <v>910</v>
      </c>
    </row>
    <row r="873" spans="1:14" x14ac:dyDescent="0.3">
      <c r="A873" s="2" t="s">
        <v>14</v>
      </c>
      <c r="B873" s="2" t="s">
        <v>15</v>
      </c>
      <c r="C873" s="2" t="s">
        <v>16</v>
      </c>
      <c r="D873" s="2" t="str">
        <f>("029057")</f>
        <v>029057</v>
      </c>
      <c r="E873" s="2" t="str">
        <f>("622454290570")</f>
        <v>622454290570</v>
      </c>
      <c r="G873" s="2" t="s">
        <v>962</v>
      </c>
      <c r="H873" s="5">
        <v>2363.29</v>
      </c>
      <c r="I873" s="2" t="s">
        <v>18</v>
      </c>
      <c r="J873" s="3">
        <v>43013</v>
      </c>
      <c r="K873" s="2">
        <v>0.59099999999999997</v>
      </c>
      <c r="L873" s="2">
        <v>1.3029999999999999</v>
      </c>
      <c r="N873" s="2" t="s">
        <v>963</v>
      </c>
    </row>
    <row r="874" spans="1:14" x14ac:dyDescent="0.3">
      <c r="A874" s="2" t="s">
        <v>14</v>
      </c>
      <c r="B874" s="2" t="s">
        <v>15</v>
      </c>
      <c r="C874" s="2" t="s">
        <v>16</v>
      </c>
      <c r="D874" s="2" t="str">
        <f>("029124")</f>
        <v>029124</v>
      </c>
      <c r="E874" s="2" t="str">
        <f>("622454291249")</f>
        <v>622454291249</v>
      </c>
      <c r="G874" s="2" t="s">
        <v>964</v>
      </c>
      <c r="H874" s="5">
        <v>2571.8200000000002</v>
      </c>
      <c r="I874" s="2" t="s">
        <v>18</v>
      </c>
      <c r="J874" s="3">
        <v>43013</v>
      </c>
      <c r="K874" s="2">
        <v>1E-3</v>
      </c>
      <c r="L874" s="2">
        <v>2E-3</v>
      </c>
      <c r="N874" s="2" t="s">
        <v>963</v>
      </c>
    </row>
    <row r="875" spans="1:14" x14ac:dyDescent="0.3">
      <c r="A875" s="2" t="s">
        <v>14</v>
      </c>
      <c r="B875" s="2" t="s">
        <v>15</v>
      </c>
      <c r="C875" s="2" t="s">
        <v>16</v>
      </c>
      <c r="D875" s="2" t="str">
        <f>("029280")</f>
        <v>029280</v>
      </c>
      <c r="E875" s="2" t="str">
        <f>("622454292802")</f>
        <v>622454292802</v>
      </c>
      <c r="G875" s="2" t="s">
        <v>965</v>
      </c>
      <c r="H875" s="5">
        <v>2728.78</v>
      </c>
      <c r="I875" s="2" t="s">
        <v>18</v>
      </c>
      <c r="J875" s="3">
        <v>43013</v>
      </c>
      <c r="K875" s="2">
        <v>1E-3</v>
      </c>
      <c r="L875" s="2">
        <v>2E-3</v>
      </c>
      <c r="N875" s="2" t="s">
        <v>963</v>
      </c>
    </row>
    <row r="876" spans="1:14" x14ac:dyDescent="0.3">
      <c r="A876" s="2" t="s">
        <v>14</v>
      </c>
      <c r="B876" s="2" t="s">
        <v>15</v>
      </c>
      <c r="C876" s="2" t="s">
        <v>16</v>
      </c>
      <c r="D876" s="2" t="str">
        <f>("029286")</f>
        <v>029286</v>
      </c>
      <c r="E876" s="2" t="str">
        <f>("622454292864")</f>
        <v>622454292864</v>
      </c>
      <c r="G876" s="2" t="s">
        <v>966</v>
      </c>
      <c r="H876" s="5">
        <v>2735.5</v>
      </c>
      <c r="I876" s="2" t="s">
        <v>18</v>
      </c>
      <c r="J876" s="3">
        <v>43013</v>
      </c>
      <c r="K876" s="2">
        <v>1E-3</v>
      </c>
      <c r="L876" s="2">
        <v>2E-3</v>
      </c>
      <c r="N876" s="2" t="s">
        <v>963</v>
      </c>
    </row>
    <row r="877" spans="1:14" x14ac:dyDescent="0.3">
      <c r="A877" s="2" t="s">
        <v>14</v>
      </c>
      <c r="B877" s="2" t="s">
        <v>15</v>
      </c>
      <c r="C877" s="2" t="s">
        <v>16</v>
      </c>
      <c r="D877" s="2" t="str">
        <f>("029296")</f>
        <v>029296</v>
      </c>
      <c r="E877" s="2" t="str">
        <f>("622454292963")</f>
        <v>622454292963</v>
      </c>
      <c r="G877" s="2" t="s">
        <v>967</v>
      </c>
      <c r="H877" s="5">
        <v>2735.5</v>
      </c>
      <c r="I877" s="2" t="s">
        <v>18</v>
      </c>
      <c r="J877" s="3">
        <v>43013</v>
      </c>
      <c r="K877" s="2">
        <v>1E-3</v>
      </c>
      <c r="L877" s="2">
        <v>2E-3</v>
      </c>
      <c r="N877" s="2" t="s">
        <v>963</v>
      </c>
    </row>
    <row r="878" spans="1:14" x14ac:dyDescent="0.3">
      <c r="A878" s="2" t="s">
        <v>14</v>
      </c>
      <c r="B878" s="2" t="s">
        <v>15</v>
      </c>
      <c r="C878" s="2" t="s">
        <v>16</v>
      </c>
      <c r="D878" s="2" t="str">
        <f>("029058")</f>
        <v>029058</v>
      </c>
      <c r="E878" s="2" t="str">
        <f>("622454290587")</f>
        <v>622454290587</v>
      </c>
      <c r="G878" s="2" t="s">
        <v>968</v>
      </c>
      <c r="H878" s="5">
        <v>4067.38</v>
      </c>
      <c r="I878" s="2" t="s">
        <v>18</v>
      </c>
      <c r="J878" s="3">
        <v>43013</v>
      </c>
      <c r="K878" s="2">
        <v>1.3140000000000001</v>
      </c>
      <c r="L878" s="2">
        <v>2.8969999999999998</v>
      </c>
      <c r="N878" s="2" t="s">
        <v>963</v>
      </c>
    </row>
    <row r="879" spans="1:14" x14ac:dyDescent="0.3">
      <c r="A879" s="2" t="s">
        <v>14</v>
      </c>
      <c r="B879" s="2" t="s">
        <v>15</v>
      </c>
      <c r="C879" s="2" t="s">
        <v>16</v>
      </c>
      <c r="D879" s="2" t="str">
        <f>("029125")</f>
        <v>029125</v>
      </c>
      <c r="E879" s="2" t="str">
        <f>("622454291256")</f>
        <v>622454291256</v>
      </c>
      <c r="G879" s="2" t="s">
        <v>969</v>
      </c>
      <c r="H879" s="5">
        <v>3955.27</v>
      </c>
      <c r="I879" s="2" t="s">
        <v>18</v>
      </c>
      <c r="J879" s="3">
        <v>43013</v>
      </c>
      <c r="K879" s="2">
        <v>0.82099999999999995</v>
      </c>
      <c r="L879" s="2">
        <v>1.81</v>
      </c>
      <c r="N879" s="2" t="s">
        <v>963</v>
      </c>
    </row>
    <row r="880" spans="1:14" x14ac:dyDescent="0.3">
      <c r="A880" s="2" t="s">
        <v>14</v>
      </c>
      <c r="B880" s="2" t="s">
        <v>15</v>
      </c>
      <c r="C880" s="2" t="s">
        <v>16</v>
      </c>
      <c r="D880" s="2" t="str">
        <f>("029281")</f>
        <v>029281</v>
      </c>
      <c r="E880" s="2" t="str">
        <f>("622454292819")</f>
        <v>622454292819</v>
      </c>
      <c r="G880" s="2" t="s">
        <v>970</v>
      </c>
      <c r="H880" s="5">
        <v>4015.81</v>
      </c>
      <c r="I880" s="2" t="s">
        <v>18</v>
      </c>
      <c r="J880" s="3">
        <v>43013</v>
      </c>
      <c r="K880" s="2">
        <v>1E-3</v>
      </c>
      <c r="L880" s="2">
        <v>2E-3</v>
      </c>
      <c r="N880" s="2" t="s">
        <v>963</v>
      </c>
    </row>
    <row r="881" spans="1:14" x14ac:dyDescent="0.3">
      <c r="A881" s="2" t="s">
        <v>14</v>
      </c>
      <c r="B881" s="2" t="s">
        <v>15</v>
      </c>
      <c r="C881" s="2" t="s">
        <v>16</v>
      </c>
      <c r="D881" s="2" t="str">
        <f>("029297")</f>
        <v>029297</v>
      </c>
      <c r="E881" s="2" t="str">
        <f>("622454292970")</f>
        <v>622454292970</v>
      </c>
      <c r="G881" s="2" t="s">
        <v>971</v>
      </c>
      <c r="H881" s="5">
        <v>3955.27</v>
      </c>
      <c r="I881" s="2" t="s">
        <v>18</v>
      </c>
      <c r="J881" s="3">
        <v>43013</v>
      </c>
      <c r="K881" s="2">
        <v>1E-3</v>
      </c>
      <c r="L881" s="2">
        <v>2E-3</v>
      </c>
      <c r="N881" s="2" t="s">
        <v>963</v>
      </c>
    </row>
    <row r="882" spans="1:14" x14ac:dyDescent="0.3">
      <c r="A882" s="2" t="s">
        <v>14</v>
      </c>
      <c r="B882" s="2" t="s">
        <v>15</v>
      </c>
      <c r="C882" s="2" t="s">
        <v>16</v>
      </c>
      <c r="D882" s="2" t="str">
        <f>("029059")</f>
        <v>029059</v>
      </c>
      <c r="E882" s="2" t="str">
        <f>("622454290594")</f>
        <v>622454290594</v>
      </c>
      <c r="G882" s="2" t="s">
        <v>972</v>
      </c>
      <c r="H882" s="5">
        <v>6067.43</v>
      </c>
      <c r="I882" s="2" t="s">
        <v>18</v>
      </c>
      <c r="J882" s="3">
        <v>43013</v>
      </c>
      <c r="K882" s="2">
        <v>2.1800000000000002</v>
      </c>
      <c r="L882" s="2">
        <v>4.806</v>
      </c>
      <c r="N882" s="2" t="s">
        <v>963</v>
      </c>
    </row>
    <row r="883" spans="1:14" x14ac:dyDescent="0.3">
      <c r="A883" s="2" t="s">
        <v>14</v>
      </c>
      <c r="B883" s="2" t="s">
        <v>15</v>
      </c>
      <c r="C883" s="2" t="s">
        <v>16</v>
      </c>
      <c r="D883" s="2" t="str">
        <f>("029126")</f>
        <v>029126</v>
      </c>
      <c r="E883" s="2" t="str">
        <f>("622454291263")</f>
        <v>622454291263</v>
      </c>
      <c r="G883" s="2" t="s">
        <v>973</v>
      </c>
      <c r="H883" s="5">
        <v>5116.7299999999996</v>
      </c>
      <c r="I883" s="2" t="s">
        <v>18</v>
      </c>
      <c r="J883" s="3">
        <v>43013</v>
      </c>
      <c r="K883" s="2">
        <v>1.363</v>
      </c>
      <c r="L883" s="2">
        <v>3.0049999999999999</v>
      </c>
      <c r="N883" s="2" t="s">
        <v>963</v>
      </c>
    </row>
    <row r="884" spans="1:14" x14ac:dyDescent="0.3">
      <c r="A884" s="2" t="s">
        <v>14</v>
      </c>
      <c r="B884" s="2" t="s">
        <v>15</v>
      </c>
      <c r="C884" s="2" t="s">
        <v>16</v>
      </c>
      <c r="D884" s="2" t="str">
        <f>("029282")</f>
        <v>029282</v>
      </c>
      <c r="E884" s="2" t="str">
        <f>("622454292826")</f>
        <v>622454292826</v>
      </c>
      <c r="G884" s="2" t="s">
        <v>974</v>
      </c>
      <c r="H884" s="5">
        <v>4831.97</v>
      </c>
      <c r="I884" s="2" t="s">
        <v>18</v>
      </c>
      <c r="J884" s="3">
        <v>43013</v>
      </c>
      <c r="K884" s="2">
        <v>1.0900000000000001</v>
      </c>
      <c r="L884" s="2">
        <v>2.403</v>
      </c>
      <c r="N884" s="2" t="s">
        <v>963</v>
      </c>
    </row>
    <row r="885" spans="1:14" x14ac:dyDescent="0.3">
      <c r="A885" s="2" t="s">
        <v>14</v>
      </c>
      <c r="B885" s="2" t="s">
        <v>15</v>
      </c>
      <c r="C885" s="2" t="s">
        <v>16</v>
      </c>
      <c r="D885" s="2" t="str">
        <f>("029287")</f>
        <v>029287</v>
      </c>
      <c r="E885" s="2" t="str">
        <f>("622454292871")</f>
        <v>622454292871</v>
      </c>
      <c r="G885" s="2" t="s">
        <v>975</v>
      </c>
      <c r="H885" s="5">
        <v>4831.97</v>
      </c>
      <c r="I885" s="2" t="s">
        <v>18</v>
      </c>
      <c r="J885" s="3">
        <v>43013</v>
      </c>
      <c r="K885" s="2">
        <v>1.0900000000000001</v>
      </c>
      <c r="L885" s="2">
        <v>2.403</v>
      </c>
      <c r="N885" s="2" t="s">
        <v>963</v>
      </c>
    </row>
    <row r="886" spans="1:14" x14ac:dyDescent="0.3">
      <c r="A886" s="2" t="s">
        <v>14</v>
      </c>
      <c r="B886" s="2" t="s">
        <v>15</v>
      </c>
      <c r="C886" s="2" t="s">
        <v>16</v>
      </c>
      <c r="D886" s="2" t="str">
        <f>("029298")</f>
        <v>029298</v>
      </c>
      <c r="E886" s="2" t="str">
        <f>("622454292987")</f>
        <v>622454292987</v>
      </c>
      <c r="G886" s="2" t="s">
        <v>976</v>
      </c>
      <c r="H886" s="5">
        <v>4831.97</v>
      </c>
      <c r="I886" s="2" t="s">
        <v>18</v>
      </c>
      <c r="J886" s="3">
        <v>43013</v>
      </c>
      <c r="K886" s="2">
        <v>0.76500000000000001</v>
      </c>
      <c r="L886" s="2">
        <v>1.6870000000000001</v>
      </c>
      <c r="N886" s="2" t="s">
        <v>963</v>
      </c>
    </row>
    <row r="887" spans="1:14" x14ac:dyDescent="0.3">
      <c r="A887" s="2" t="s">
        <v>14</v>
      </c>
      <c r="B887" s="2" t="s">
        <v>15</v>
      </c>
      <c r="C887" s="2" t="s">
        <v>16</v>
      </c>
      <c r="D887" s="2" t="str">
        <f>("029321")</f>
        <v>029321</v>
      </c>
      <c r="E887" s="2" t="str">
        <f>("622454293212")</f>
        <v>622454293212</v>
      </c>
      <c r="G887" s="2" t="s">
        <v>977</v>
      </c>
      <c r="H887" s="5">
        <v>2782.59</v>
      </c>
      <c r="I887" s="2" t="s">
        <v>18</v>
      </c>
      <c r="J887" s="3">
        <v>43013</v>
      </c>
      <c r="K887" s="2">
        <v>0.59099999999999997</v>
      </c>
      <c r="L887" s="2">
        <v>1.3029999999999999</v>
      </c>
      <c r="N887" s="2" t="s">
        <v>963</v>
      </c>
    </row>
    <row r="888" spans="1:14" x14ac:dyDescent="0.3">
      <c r="A888" s="2" t="s">
        <v>14</v>
      </c>
      <c r="B888" s="2" t="s">
        <v>15</v>
      </c>
      <c r="C888" s="2" t="s">
        <v>16</v>
      </c>
      <c r="D888" s="2" t="str">
        <f>("029326")</f>
        <v>029326</v>
      </c>
      <c r="E888" s="2" t="str">
        <f>("622454293267")</f>
        <v>622454293267</v>
      </c>
      <c r="G888" s="2" t="s">
        <v>978</v>
      </c>
      <c r="H888" s="5">
        <v>3022.51</v>
      </c>
      <c r="I888" s="2" t="s">
        <v>18</v>
      </c>
      <c r="J888" s="3">
        <v>43013</v>
      </c>
      <c r="K888" s="2">
        <v>0.37</v>
      </c>
      <c r="L888" s="2">
        <v>0.81599999999999995</v>
      </c>
      <c r="N888" s="2" t="s">
        <v>963</v>
      </c>
    </row>
    <row r="889" spans="1:14" x14ac:dyDescent="0.3">
      <c r="A889" s="2" t="s">
        <v>14</v>
      </c>
      <c r="B889" s="2" t="s">
        <v>15</v>
      </c>
      <c r="C889" s="2" t="s">
        <v>16</v>
      </c>
      <c r="D889" s="2" t="str">
        <f>("029331")</f>
        <v>029331</v>
      </c>
      <c r="E889" s="2" t="str">
        <f>("622454293311")</f>
        <v>622454293311</v>
      </c>
      <c r="G889" s="2" t="s">
        <v>979</v>
      </c>
      <c r="H889" s="5">
        <v>3215.34</v>
      </c>
      <c r="I889" s="2" t="s">
        <v>18</v>
      </c>
      <c r="J889" s="3">
        <v>43013</v>
      </c>
      <c r="K889" s="2">
        <v>0.219</v>
      </c>
      <c r="L889" s="2">
        <v>0.48299999999999998</v>
      </c>
      <c r="N889" s="2" t="s">
        <v>963</v>
      </c>
    </row>
    <row r="890" spans="1:14" x14ac:dyDescent="0.3">
      <c r="A890" s="2" t="s">
        <v>14</v>
      </c>
      <c r="B890" s="2" t="s">
        <v>15</v>
      </c>
      <c r="C890" s="2" t="s">
        <v>16</v>
      </c>
      <c r="D890" s="2" t="str">
        <f>("029336")</f>
        <v>029336</v>
      </c>
      <c r="E890" s="2" t="str">
        <f>("622454293366")</f>
        <v>622454293366</v>
      </c>
      <c r="G890" s="2" t="s">
        <v>980</v>
      </c>
      <c r="H890" s="5">
        <v>3215.34</v>
      </c>
      <c r="I890" s="2" t="s">
        <v>18</v>
      </c>
      <c r="J890" s="3">
        <v>43013</v>
      </c>
      <c r="K890" s="2">
        <v>0.247</v>
      </c>
      <c r="L890" s="2">
        <v>0.54500000000000004</v>
      </c>
      <c r="N890" s="2" t="s">
        <v>963</v>
      </c>
    </row>
    <row r="891" spans="1:14" x14ac:dyDescent="0.3">
      <c r="A891" s="2" t="s">
        <v>14</v>
      </c>
      <c r="B891" s="2" t="s">
        <v>15</v>
      </c>
      <c r="C891" s="2" t="s">
        <v>16</v>
      </c>
      <c r="D891" s="2" t="str">
        <f>("029346")</f>
        <v>029346</v>
      </c>
      <c r="E891" s="2" t="str">
        <f>("622454293465")</f>
        <v>622454293465</v>
      </c>
      <c r="G891" s="2" t="s">
        <v>981</v>
      </c>
      <c r="H891" s="5">
        <v>3215.34</v>
      </c>
      <c r="I891" s="2" t="s">
        <v>18</v>
      </c>
      <c r="J891" s="3">
        <v>43013</v>
      </c>
      <c r="K891" s="2">
        <v>1E-3</v>
      </c>
      <c r="L891" s="2">
        <v>2E-3</v>
      </c>
      <c r="N891" s="2" t="s">
        <v>963</v>
      </c>
    </row>
    <row r="892" spans="1:14" x14ac:dyDescent="0.3">
      <c r="A892" s="2" t="s">
        <v>14</v>
      </c>
      <c r="B892" s="2" t="s">
        <v>15</v>
      </c>
      <c r="C892" s="2" t="s">
        <v>16</v>
      </c>
      <c r="D892" s="2" t="str">
        <f>("029322")</f>
        <v>029322</v>
      </c>
      <c r="E892" s="2" t="str">
        <f>("622454293229")</f>
        <v>622454293229</v>
      </c>
      <c r="G892" s="2" t="s">
        <v>982</v>
      </c>
      <c r="H892" s="5">
        <v>4486.67</v>
      </c>
      <c r="I892" s="2" t="s">
        <v>18</v>
      </c>
      <c r="J892" s="3">
        <v>43013</v>
      </c>
      <c r="K892" s="2">
        <v>1.6419999999999999</v>
      </c>
      <c r="L892" s="2">
        <v>3.62</v>
      </c>
      <c r="N892" s="2" t="s">
        <v>963</v>
      </c>
    </row>
    <row r="893" spans="1:14" x14ac:dyDescent="0.3">
      <c r="A893" s="2" t="s">
        <v>14</v>
      </c>
      <c r="B893" s="2" t="s">
        <v>15</v>
      </c>
      <c r="C893" s="2" t="s">
        <v>16</v>
      </c>
      <c r="D893" s="2" t="str">
        <f>("029327")</f>
        <v>029327</v>
      </c>
      <c r="E893" s="2" t="str">
        <f>("622454293274")</f>
        <v>622454293274</v>
      </c>
      <c r="G893" s="2" t="s">
        <v>983</v>
      </c>
      <c r="H893" s="5">
        <v>3302.78</v>
      </c>
      <c r="I893" s="2" t="s">
        <v>18</v>
      </c>
      <c r="J893" s="3">
        <v>43013</v>
      </c>
      <c r="K893" s="2">
        <v>1.0940000000000001</v>
      </c>
      <c r="L893" s="2">
        <v>2.4119999999999999</v>
      </c>
      <c r="N893" s="2" t="s">
        <v>963</v>
      </c>
    </row>
    <row r="894" spans="1:14" x14ac:dyDescent="0.3">
      <c r="A894" s="2" t="s">
        <v>14</v>
      </c>
      <c r="B894" s="2" t="s">
        <v>15</v>
      </c>
      <c r="C894" s="2" t="s">
        <v>16</v>
      </c>
      <c r="D894" s="2" t="str">
        <f>("029332")</f>
        <v>029332</v>
      </c>
      <c r="E894" s="2" t="str">
        <f>("622454293328")</f>
        <v>622454293328</v>
      </c>
      <c r="G894" s="2" t="s">
        <v>984</v>
      </c>
      <c r="H894" s="5">
        <v>3569.61</v>
      </c>
      <c r="I894" s="2" t="s">
        <v>18</v>
      </c>
      <c r="J894" s="3">
        <v>43013</v>
      </c>
      <c r="K894" s="2">
        <v>1E-3</v>
      </c>
      <c r="L894" s="2">
        <v>2E-3</v>
      </c>
      <c r="N894" s="2" t="s">
        <v>963</v>
      </c>
    </row>
    <row r="895" spans="1:14" x14ac:dyDescent="0.3">
      <c r="A895" s="2" t="s">
        <v>14</v>
      </c>
      <c r="B895" s="2" t="s">
        <v>15</v>
      </c>
      <c r="C895" s="2" t="s">
        <v>16</v>
      </c>
      <c r="D895" s="2" t="str">
        <f>("029337")</f>
        <v>029337</v>
      </c>
      <c r="E895" s="2" t="str">
        <f>("622454293373")</f>
        <v>622454293373</v>
      </c>
      <c r="G895" s="2" t="s">
        <v>985</v>
      </c>
      <c r="H895" s="5">
        <v>3513.55</v>
      </c>
      <c r="I895" s="2" t="s">
        <v>18</v>
      </c>
      <c r="J895" s="3">
        <v>43013</v>
      </c>
      <c r="K895" s="2">
        <v>1E-3</v>
      </c>
      <c r="L895" s="2">
        <v>2E-3</v>
      </c>
      <c r="N895" s="2" t="s">
        <v>963</v>
      </c>
    </row>
    <row r="896" spans="1:14" x14ac:dyDescent="0.3">
      <c r="A896" s="2" t="s">
        <v>14</v>
      </c>
      <c r="B896" s="2" t="s">
        <v>15</v>
      </c>
      <c r="C896" s="2" t="s">
        <v>16</v>
      </c>
      <c r="D896" s="2" t="str">
        <f>("029347")</f>
        <v>029347</v>
      </c>
      <c r="E896" s="2" t="str">
        <f>("622454293472")</f>
        <v>622454293472</v>
      </c>
      <c r="G896" s="2" t="s">
        <v>986</v>
      </c>
      <c r="H896" s="5">
        <v>3513.55</v>
      </c>
      <c r="I896" s="2" t="s">
        <v>18</v>
      </c>
      <c r="J896" s="3">
        <v>43013</v>
      </c>
      <c r="K896" s="2">
        <v>1E-3</v>
      </c>
      <c r="L896" s="2">
        <v>2E-3</v>
      </c>
      <c r="N896" s="2" t="s">
        <v>963</v>
      </c>
    </row>
    <row r="897" spans="1:14" x14ac:dyDescent="0.3">
      <c r="A897" s="2" t="s">
        <v>14</v>
      </c>
      <c r="B897" s="2" t="s">
        <v>15</v>
      </c>
      <c r="C897" s="2" t="s">
        <v>16</v>
      </c>
      <c r="D897" s="2" t="str">
        <f>("029323")</f>
        <v>029323</v>
      </c>
      <c r="E897" s="2" t="str">
        <f>("622454293236")</f>
        <v>622454293236</v>
      </c>
      <c r="G897" s="2" t="s">
        <v>987</v>
      </c>
      <c r="H897" s="5">
        <v>6677.31</v>
      </c>
      <c r="I897" s="2" t="s">
        <v>18</v>
      </c>
      <c r="J897" s="3">
        <v>43013</v>
      </c>
      <c r="K897" s="2">
        <v>2.7250000000000001</v>
      </c>
      <c r="L897" s="2">
        <v>6.008</v>
      </c>
      <c r="N897" s="2" t="s">
        <v>963</v>
      </c>
    </row>
    <row r="898" spans="1:14" x14ac:dyDescent="0.3">
      <c r="A898" s="2" t="s">
        <v>14</v>
      </c>
      <c r="B898" s="2" t="s">
        <v>15</v>
      </c>
      <c r="C898" s="2" t="s">
        <v>16</v>
      </c>
      <c r="D898" s="2" t="str">
        <f>("029328")</f>
        <v>029328</v>
      </c>
      <c r="E898" s="2" t="str">
        <f>("622454293281")</f>
        <v>622454293281</v>
      </c>
      <c r="G898" s="2" t="s">
        <v>988</v>
      </c>
      <c r="H898" s="5">
        <v>6417.22</v>
      </c>
      <c r="I898" s="2" t="s">
        <v>18</v>
      </c>
      <c r="J898" s="3">
        <v>43013</v>
      </c>
      <c r="K898" s="2">
        <v>1.363</v>
      </c>
      <c r="L898" s="2">
        <v>3.0049999999999999</v>
      </c>
      <c r="N898" s="2" t="s">
        <v>963</v>
      </c>
    </row>
    <row r="899" spans="1:14" x14ac:dyDescent="0.3">
      <c r="A899" s="2" t="s">
        <v>14</v>
      </c>
      <c r="B899" s="2" t="s">
        <v>15</v>
      </c>
      <c r="C899" s="2" t="s">
        <v>16</v>
      </c>
      <c r="D899" s="2" t="str">
        <f>("029333")</f>
        <v>029333</v>
      </c>
      <c r="E899" s="2" t="str">
        <f>("622454293335")</f>
        <v>622454293335</v>
      </c>
      <c r="G899" s="2" t="s">
        <v>989</v>
      </c>
      <c r="H899" s="5">
        <v>6928.44</v>
      </c>
      <c r="I899" s="2" t="s">
        <v>18</v>
      </c>
      <c r="J899" s="3">
        <v>43013</v>
      </c>
      <c r="K899" s="2">
        <v>1.0900000000000001</v>
      </c>
      <c r="L899" s="2">
        <v>2.403</v>
      </c>
      <c r="N899" s="2" t="s">
        <v>963</v>
      </c>
    </row>
    <row r="900" spans="1:14" x14ac:dyDescent="0.3">
      <c r="A900" s="2" t="s">
        <v>14</v>
      </c>
      <c r="B900" s="2" t="s">
        <v>15</v>
      </c>
      <c r="C900" s="2" t="s">
        <v>16</v>
      </c>
      <c r="D900" s="2" t="str">
        <f>("029338")</f>
        <v>029338</v>
      </c>
      <c r="E900" s="2" t="str">
        <f>("622454293380")</f>
        <v>622454293380</v>
      </c>
      <c r="G900" s="2" t="s">
        <v>990</v>
      </c>
      <c r="H900" s="5">
        <v>6800.64</v>
      </c>
      <c r="I900" s="2" t="s">
        <v>18</v>
      </c>
      <c r="J900" s="3">
        <v>43013</v>
      </c>
      <c r="K900" s="2">
        <v>1.0900000000000001</v>
      </c>
      <c r="L900" s="2">
        <v>2.403</v>
      </c>
      <c r="N900" s="2" t="s">
        <v>963</v>
      </c>
    </row>
    <row r="901" spans="1:14" x14ac:dyDescent="0.3">
      <c r="A901" s="2" t="s">
        <v>14</v>
      </c>
      <c r="B901" s="2" t="s">
        <v>15</v>
      </c>
      <c r="C901" s="2" t="s">
        <v>16</v>
      </c>
      <c r="D901" s="2" t="str">
        <f>("029348")</f>
        <v>029348</v>
      </c>
      <c r="E901" s="2" t="str">
        <f>("622454293489")</f>
        <v>622454293489</v>
      </c>
      <c r="G901" s="2" t="s">
        <v>991</v>
      </c>
      <c r="H901" s="5">
        <v>6800.64</v>
      </c>
      <c r="I901" s="2" t="s">
        <v>18</v>
      </c>
      <c r="J901" s="3">
        <v>43013</v>
      </c>
      <c r="K901" s="2">
        <v>0.66800000000000004</v>
      </c>
      <c r="L901" s="2">
        <v>1.4730000000000001</v>
      </c>
      <c r="N901" s="2" t="s">
        <v>963</v>
      </c>
    </row>
    <row r="902" spans="1:14" x14ac:dyDescent="0.3">
      <c r="A902" s="2" t="s">
        <v>14</v>
      </c>
      <c r="B902" s="2" t="s">
        <v>15</v>
      </c>
      <c r="C902" s="2" t="s">
        <v>16</v>
      </c>
      <c r="D902" s="2" t="str">
        <f>("029324")</f>
        <v>029324</v>
      </c>
      <c r="E902" s="2" t="str">
        <f>("622454293243")</f>
        <v>622454293243</v>
      </c>
      <c r="G902" s="2" t="s">
        <v>992</v>
      </c>
      <c r="H902" s="5">
        <v>10280.549999999999</v>
      </c>
      <c r="I902" s="2" t="s">
        <v>18</v>
      </c>
      <c r="J902" s="3">
        <v>43013</v>
      </c>
      <c r="K902" s="2">
        <v>4.1630000000000003</v>
      </c>
      <c r="L902" s="2">
        <v>9.1780000000000008</v>
      </c>
      <c r="N902" s="2" t="s">
        <v>963</v>
      </c>
    </row>
    <row r="903" spans="1:14" x14ac:dyDescent="0.3">
      <c r="A903" s="2" t="s">
        <v>14</v>
      </c>
      <c r="B903" s="2" t="s">
        <v>15</v>
      </c>
      <c r="C903" s="2" t="s">
        <v>16</v>
      </c>
      <c r="D903" s="2" t="str">
        <f>("029329")</f>
        <v>029329</v>
      </c>
      <c r="E903" s="2" t="str">
        <f>("622454293298")</f>
        <v>622454293298</v>
      </c>
      <c r="G903" s="2" t="s">
        <v>993</v>
      </c>
      <c r="H903" s="5">
        <v>9870.23</v>
      </c>
      <c r="I903" s="2" t="s">
        <v>18</v>
      </c>
      <c r="J903" s="3">
        <v>43013</v>
      </c>
      <c r="K903" s="2">
        <v>2.7719999999999998</v>
      </c>
      <c r="L903" s="2">
        <v>6.1109999999999998</v>
      </c>
      <c r="N903" s="2" t="s">
        <v>963</v>
      </c>
    </row>
    <row r="904" spans="1:14" x14ac:dyDescent="0.3">
      <c r="A904" s="2" t="s">
        <v>14</v>
      </c>
      <c r="B904" s="2" t="s">
        <v>15</v>
      </c>
      <c r="C904" s="2" t="s">
        <v>16</v>
      </c>
      <c r="D904" s="2" t="str">
        <f>("029334")</f>
        <v>029334</v>
      </c>
      <c r="E904" s="2" t="str">
        <f>("622454293342")</f>
        <v>622454293342</v>
      </c>
      <c r="G904" s="2" t="s">
        <v>994</v>
      </c>
      <c r="H904" s="5">
        <v>16031.83</v>
      </c>
      <c r="I904" s="2" t="s">
        <v>18</v>
      </c>
      <c r="J904" s="3">
        <v>43013</v>
      </c>
      <c r="K904" s="2">
        <v>2.081</v>
      </c>
      <c r="L904" s="2">
        <v>4.5880000000000001</v>
      </c>
      <c r="N904" s="2" t="s">
        <v>963</v>
      </c>
    </row>
    <row r="905" spans="1:14" x14ac:dyDescent="0.3">
      <c r="A905" s="2" t="s">
        <v>14</v>
      </c>
      <c r="B905" s="2" t="s">
        <v>15</v>
      </c>
      <c r="C905" s="2" t="s">
        <v>16</v>
      </c>
      <c r="D905" s="2" t="str">
        <f>("029339")</f>
        <v>029339</v>
      </c>
      <c r="E905" s="2" t="str">
        <f>("622454293397")</f>
        <v>622454293397</v>
      </c>
      <c r="G905" s="2" t="s">
        <v>995</v>
      </c>
      <c r="H905" s="5">
        <v>19509.509999999998</v>
      </c>
      <c r="I905" s="2" t="s">
        <v>18</v>
      </c>
      <c r="J905" s="3">
        <v>43013</v>
      </c>
      <c r="K905" s="2">
        <v>1.665</v>
      </c>
      <c r="L905" s="2">
        <v>3.6709999999999998</v>
      </c>
      <c r="N905" s="2" t="s">
        <v>963</v>
      </c>
    </row>
    <row r="906" spans="1:14" x14ac:dyDescent="0.3">
      <c r="A906" s="2" t="s">
        <v>14</v>
      </c>
      <c r="B906" s="2" t="s">
        <v>15</v>
      </c>
      <c r="C906" s="2" t="s">
        <v>16</v>
      </c>
      <c r="D906" s="2" t="str">
        <f>("029349")</f>
        <v>029349</v>
      </c>
      <c r="E906" s="2" t="str">
        <f>("622454293496")</f>
        <v>622454293496</v>
      </c>
      <c r="G906" s="2" t="s">
        <v>996</v>
      </c>
      <c r="H906" s="5">
        <v>16031.83</v>
      </c>
      <c r="I906" s="2" t="s">
        <v>18</v>
      </c>
      <c r="J906" s="3">
        <v>43013</v>
      </c>
      <c r="K906" s="2">
        <v>1E-3</v>
      </c>
      <c r="L906" s="2">
        <v>2E-3</v>
      </c>
      <c r="N906" s="2" t="s">
        <v>963</v>
      </c>
    </row>
    <row r="907" spans="1:14" x14ac:dyDescent="0.3">
      <c r="A907" s="2" t="s">
        <v>14</v>
      </c>
      <c r="B907" s="2" t="s">
        <v>15</v>
      </c>
      <c r="C907" s="2" t="s">
        <v>16</v>
      </c>
      <c r="D907" s="2" t="str">
        <f>("029351")</f>
        <v>029351</v>
      </c>
      <c r="E907" s="2" t="str">
        <f>("622454293519")</f>
        <v>622454293519</v>
      </c>
      <c r="G907" s="2" t="s">
        <v>997</v>
      </c>
      <c r="H907" s="5">
        <v>4208.6400000000003</v>
      </c>
      <c r="I907" s="2" t="s">
        <v>18</v>
      </c>
      <c r="J907" s="3">
        <v>43013</v>
      </c>
      <c r="K907" s="2">
        <v>0.82699999999999996</v>
      </c>
      <c r="L907" s="2">
        <v>1.823</v>
      </c>
      <c r="N907" s="2" t="s">
        <v>963</v>
      </c>
    </row>
    <row r="908" spans="1:14" x14ac:dyDescent="0.3">
      <c r="A908" s="2" t="s">
        <v>14</v>
      </c>
      <c r="B908" s="2" t="s">
        <v>15</v>
      </c>
      <c r="C908" s="2" t="s">
        <v>16</v>
      </c>
      <c r="D908" s="2" t="str">
        <f>("029356")</f>
        <v>029356</v>
      </c>
      <c r="E908" s="2" t="str">
        <f>("622454293564")</f>
        <v>622454293564</v>
      </c>
      <c r="G908" s="2" t="s">
        <v>998</v>
      </c>
      <c r="H908" s="5">
        <v>3625.66</v>
      </c>
      <c r="I908" s="2" t="s">
        <v>18</v>
      </c>
      <c r="J908" s="3">
        <v>43013</v>
      </c>
      <c r="K908" s="2">
        <v>0.98499999999999999</v>
      </c>
      <c r="L908" s="2">
        <v>2.1720000000000002</v>
      </c>
      <c r="N908" s="2" t="s">
        <v>963</v>
      </c>
    </row>
    <row r="909" spans="1:14" x14ac:dyDescent="0.3">
      <c r="A909" s="2" t="s">
        <v>14</v>
      </c>
      <c r="B909" s="2" t="s">
        <v>15</v>
      </c>
      <c r="C909" s="2" t="s">
        <v>16</v>
      </c>
      <c r="D909" s="2" t="str">
        <f>("029361")</f>
        <v>029361</v>
      </c>
      <c r="E909" s="2" t="str">
        <f>("622454293618")</f>
        <v>622454293618</v>
      </c>
      <c r="G909" s="2" t="s">
        <v>999</v>
      </c>
      <c r="H909" s="5">
        <v>3493.37</v>
      </c>
      <c r="I909" s="2" t="s">
        <v>18</v>
      </c>
      <c r="J909" s="3">
        <v>43013</v>
      </c>
      <c r="K909" s="2">
        <v>1E-3</v>
      </c>
      <c r="L909" s="2">
        <v>2E-3</v>
      </c>
      <c r="N909" s="2" t="s">
        <v>963</v>
      </c>
    </row>
    <row r="910" spans="1:14" x14ac:dyDescent="0.3">
      <c r="A910" s="2" t="s">
        <v>14</v>
      </c>
      <c r="B910" s="2" t="s">
        <v>15</v>
      </c>
      <c r="C910" s="2" t="s">
        <v>16</v>
      </c>
      <c r="D910" s="2" t="str">
        <f>("029366")</f>
        <v>029366</v>
      </c>
      <c r="E910" s="2" t="str">
        <f>("622454293663")</f>
        <v>622454293663</v>
      </c>
      <c r="G910" s="2" t="s">
        <v>1000</v>
      </c>
      <c r="H910" s="5">
        <v>3439.56</v>
      </c>
      <c r="I910" s="2" t="s">
        <v>18</v>
      </c>
      <c r="J910" s="3">
        <v>43013</v>
      </c>
      <c r="K910" s="2">
        <v>1E-3</v>
      </c>
      <c r="L910" s="2">
        <v>2E-3</v>
      </c>
      <c r="N910" s="2" t="s">
        <v>963</v>
      </c>
    </row>
    <row r="911" spans="1:14" x14ac:dyDescent="0.3">
      <c r="A911" s="2" t="s">
        <v>14</v>
      </c>
      <c r="B911" s="2" t="s">
        <v>15</v>
      </c>
      <c r="C911" s="2" t="s">
        <v>16</v>
      </c>
      <c r="D911" s="2" t="str">
        <f>("029381")</f>
        <v>029381</v>
      </c>
      <c r="E911" s="2" t="str">
        <f>("622454293816")</f>
        <v>622454293816</v>
      </c>
      <c r="G911" s="2" t="s">
        <v>1001</v>
      </c>
      <c r="H911" s="5">
        <v>3439.56</v>
      </c>
      <c r="I911" s="2" t="s">
        <v>18</v>
      </c>
      <c r="J911" s="3">
        <v>43013</v>
      </c>
      <c r="K911" s="2">
        <v>0.14099999999999999</v>
      </c>
      <c r="L911" s="2">
        <v>0.311</v>
      </c>
      <c r="N911" s="2" t="s">
        <v>963</v>
      </c>
    </row>
    <row r="912" spans="1:14" x14ac:dyDescent="0.3">
      <c r="A912" s="2" t="s">
        <v>14</v>
      </c>
      <c r="B912" s="2" t="s">
        <v>15</v>
      </c>
      <c r="C912" s="2" t="s">
        <v>16</v>
      </c>
      <c r="D912" s="2" t="str">
        <f>("029352")</f>
        <v>029352</v>
      </c>
      <c r="E912" s="2" t="str">
        <f>("622454293526")</f>
        <v>622454293526</v>
      </c>
      <c r="G912" s="2" t="s">
        <v>1002</v>
      </c>
      <c r="H912" s="5">
        <v>6710.95</v>
      </c>
      <c r="I912" s="2" t="s">
        <v>18</v>
      </c>
      <c r="J912" s="3">
        <v>43013</v>
      </c>
      <c r="K912" s="2">
        <v>2.1890000000000001</v>
      </c>
      <c r="L912" s="2">
        <v>4.8259999999999996</v>
      </c>
      <c r="N912" s="2" t="s">
        <v>963</v>
      </c>
    </row>
    <row r="913" spans="1:14" x14ac:dyDescent="0.3">
      <c r="A913" s="2" t="s">
        <v>14</v>
      </c>
      <c r="B913" s="2" t="s">
        <v>15</v>
      </c>
      <c r="C913" s="2" t="s">
        <v>16</v>
      </c>
      <c r="D913" s="2" t="str">
        <f>("029357")</f>
        <v>029357</v>
      </c>
      <c r="E913" s="2" t="str">
        <f>("622454293571")</f>
        <v>622454293571</v>
      </c>
      <c r="G913" s="2" t="s">
        <v>1003</v>
      </c>
      <c r="H913" s="5">
        <v>4659.32</v>
      </c>
      <c r="I913" s="2" t="s">
        <v>18</v>
      </c>
      <c r="J913" s="3">
        <v>43013</v>
      </c>
      <c r="K913" s="2">
        <v>1.3140000000000001</v>
      </c>
      <c r="L913" s="2">
        <v>2.8969999999999998</v>
      </c>
      <c r="N913" s="2" t="s">
        <v>963</v>
      </c>
    </row>
    <row r="914" spans="1:14" x14ac:dyDescent="0.3">
      <c r="A914" s="2" t="s">
        <v>14</v>
      </c>
      <c r="B914" s="2" t="s">
        <v>15</v>
      </c>
      <c r="C914" s="2" t="s">
        <v>16</v>
      </c>
      <c r="D914" s="2" t="str">
        <f>("029362")</f>
        <v>029362</v>
      </c>
      <c r="E914" s="2" t="str">
        <f>("622454293625")</f>
        <v>622454293625</v>
      </c>
      <c r="G914" s="2" t="s">
        <v>1004</v>
      </c>
      <c r="H914" s="5">
        <v>5029.29</v>
      </c>
      <c r="I914" s="2" t="s">
        <v>18</v>
      </c>
      <c r="J914" s="3">
        <v>43013</v>
      </c>
      <c r="K914" s="2">
        <v>1.0940000000000001</v>
      </c>
      <c r="L914" s="2">
        <v>2.4119999999999999</v>
      </c>
      <c r="N914" s="2" t="s">
        <v>963</v>
      </c>
    </row>
    <row r="915" spans="1:14" x14ac:dyDescent="0.3">
      <c r="A915" s="2" t="s">
        <v>14</v>
      </c>
      <c r="B915" s="2" t="s">
        <v>15</v>
      </c>
      <c r="C915" s="2" t="s">
        <v>16</v>
      </c>
      <c r="D915" s="2" t="str">
        <f>("029367")</f>
        <v>029367</v>
      </c>
      <c r="E915" s="2" t="str">
        <f>("622454293670")</f>
        <v>622454293670</v>
      </c>
      <c r="G915" s="2" t="s">
        <v>1005</v>
      </c>
      <c r="H915" s="5">
        <v>5029.29</v>
      </c>
      <c r="I915" s="2" t="s">
        <v>18</v>
      </c>
      <c r="J915" s="3">
        <v>43013</v>
      </c>
      <c r="K915" s="2">
        <v>0.65700000000000003</v>
      </c>
      <c r="L915" s="2">
        <v>1.448</v>
      </c>
      <c r="N915" s="2" t="s">
        <v>963</v>
      </c>
    </row>
    <row r="916" spans="1:14" x14ac:dyDescent="0.3">
      <c r="A916" s="2" t="s">
        <v>14</v>
      </c>
      <c r="B916" s="2" t="s">
        <v>15</v>
      </c>
      <c r="C916" s="2" t="s">
        <v>16</v>
      </c>
      <c r="D916" s="2" t="str">
        <f>("029382")</f>
        <v>029382</v>
      </c>
      <c r="E916" s="2" t="str">
        <f>("622454293823")</f>
        <v>622454293823</v>
      </c>
      <c r="G916" s="2" t="s">
        <v>1006</v>
      </c>
      <c r="H916" s="5">
        <v>5029.29</v>
      </c>
      <c r="I916" s="2" t="s">
        <v>18</v>
      </c>
      <c r="J916" s="3">
        <v>43013</v>
      </c>
      <c r="K916" s="2">
        <v>0.65700000000000003</v>
      </c>
      <c r="L916" s="2">
        <v>1.448</v>
      </c>
      <c r="N916" s="2" t="s">
        <v>963</v>
      </c>
    </row>
    <row r="917" spans="1:14" x14ac:dyDescent="0.3">
      <c r="A917" s="2" t="s">
        <v>14</v>
      </c>
      <c r="B917" s="2" t="s">
        <v>15</v>
      </c>
      <c r="C917" s="2" t="s">
        <v>16</v>
      </c>
      <c r="D917" s="2" t="str">
        <f>("029353")</f>
        <v>029353</v>
      </c>
      <c r="E917" s="2" t="str">
        <f>("622454293533")</f>
        <v>622454293533</v>
      </c>
      <c r="G917" s="2" t="s">
        <v>1007</v>
      </c>
      <c r="H917" s="5">
        <v>9560.7999999999993</v>
      </c>
      <c r="I917" s="2" t="s">
        <v>18</v>
      </c>
      <c r="J917" s="3">
        <v>43013</v>
      </c>
      <c r="K917" s="2">
        <v>3.633</v>
      </c>
      <c r="L917" s="2">
        <v>8.0090000000000003</v>
      </c>
      <c r="N917" s="2" t="s">
        <v>963</v>
      </c>
    </row>
    <row r="918" spans="1:14" x14ac:dyDescent="0.3">
      <c r="A918" s="2" t="s">
        <v>14</v>
      </c>
      <c r="B918" s="2" t="s">
        <v>15</v>
      </c>
      <c r="C918" s="2" t="s">
        <v>16</v>
      </c>
      <c r="D918" s="2" t="str">
        <f>("029358")</f>
        <v>029358</v>
      </c>
      <c r="E918" s="2" t="str">
        <f>("622454293588")</f>
        <v>622454293588</v>
      </c>
      <c r="G918" s="2" t="s">
        <v>1008</v>
      </c>
      <c r="H918" s="5">
        <v>5946.35</v>
      </c>
      <c r="I918" s="2" t="s">
        <v>18</v>
      </c>
      <c r="J918" s="3">
        <v>43013</v>
      </c>
      <c r="K918" s="2">
        <v>1.8169999999999999</v>
      </c>
      <c r="L918" s="2">
        <v>4.0060000000000002</v>
      </c>
      <c r="N918" s="2" t="s">
        <v>963</v>
      </c>
    </row>
    <row r="919" spans="1:14" x14ac:dyDescent="0.3">
      <c r="A919" s="2" t="s">
        <v>14</v>
      </c>
      <c r="B919" s="2" t="s">
        <v>15</v>
      </c>
      <c r="C919" s="2" t="s">
        <v>16</v>
      </c>
      <c r="D919" s="2" t="str">
        <f>("029363")</f>
        <v>029363</v>
      </c>
      <c r="E919" s="2" t="str">
        <f>("622454293632")</f>
        <v>622454293632</v>
      </c>
      <c r="G919" s="2" t="s">
        <v>1009</v>
      </c>
      <c r="H919" s="5">
        <v>6226.63</v>
      </c>
      <c r="I919" s="2" t="s">
        <v>18</v>
      </c>
      <c r="J919" s="3">
        <v>43013</v>
      </c>
      <c r="K919" s="2">
        <v>1.363</v>
      </c>
      <c r="L919" s="2">
        <v>3.0049999999999999</v>
      </c>
      <c r="N919" s="2" t="s">
        <v>963</v>
      </c>
    </row>
    <row r="920" spans="1:14" x14ac:dyDescent="0.3">
      <c r="A920" s="2" t="s">
        <v>14</v>
      </c>
      <c r="B920" s="2" t="s">
        <v>15</v>
      </c>
      <c r="C920" s="2" t="s">
        <v>16</v>
      </c>
      <c r="D920" s="2" t="str">
        <f>("029368")</f>
        <v>029368</v>
      </c>
      <c r="E920" s="2" t="str">
        <f>("622454293687")</f>
        <v>622454293687</v>
      </c>
      <c r="G920" s="2" t="s">
        <v>1010</v>
      </c>
      <c r="H920" s="5">
        <v>6228.87</v>
      </c>
      <c r="I920" s="2" t="s">
        <v>18</v>
      </c>
      <c r="J920" s="3">
        <v>43013</v>
      </c>
      <c r="K920" s="2">
        <v>1.0900000000000001</v>
      </c>
      <c r="L920" s="2">
        <v>2.403</v>
      </c>
      <c r="N920" s="2" t="s">
        <v>963</v>
      </c>
    </row>
    <row r="921" spans="1:14" x14ac:dyDescent="0.3">
      <c r="A921" s="2" t="s">
        <v>14</v>
      </c>
      <c r="B921" s="2" t="s">
        <v>15</v>
      </c>
      <c r="C921" s="2" t="s">
        <v>16</v>
      </c>
      <c r="D921" s="2" t="str">
        <f>("029383")</f>
        <v>029383</v>
      </c>
      <c r="E921" s="2" t="str">
        <f>("622454293830")</f>
        <v>622454293830</v>
      </c>
      <c r="G921" s="2" t="s">
        <v>1011</v>
      </c>
      <c r="H921" s="5">
        <v>6228.87</v>
      </c>
      <c r="I921" s="2" t="s">
        <v>18</v>
      </c>
      <c r="J921" s="3">
        <v>43013</v>
      </c>
      <c r="K921" s="2">
        <v>1.0900000000000001</v>
      </c>
      <c r="L921" s="2">
        <v>2.403</v>
      </c>
      <c r="N921" s="2" t="s">
        <v>963</v>
      </c>
    </row>
    <row r="922" spans="1:14" x14ac:dyDescent="0.3">
      <c r="A922" s="2" t="s">
        <v>14</v>
      </c>
      <c r="B922" s="2" t="s">
        <v>15</v>
      </c>
      <c r="C922" s="2" t="s">
        <v>16</v>
      </c>
      <c r="D922" s="2" t="str">
        <f>("029354")</f>
        <v>029354</v>
      </c>
      <c r="E922" s="2" t="str">
        <f>("622454293540")</f>
        <v>622454293540</v>
      </c>
      <c r="G922" s="2" t="s">
        <v>1012</v>
      </c>
      <c r="H922" s="5">
        <v>17664.169999999998</v>
      </c>
      <c r="I922" s="2" t="s">
        <v>18</v>
      </c>
      <c r="J922" s="3">
        <v>43013</v>
      </c>
      <c r="K922" s="2">
        <v>5.4950000000000001</v>
      </c>
      <c r="L922" s="2">
        <v>12.114000000000001</v>
      </c>
      <c r="N922" s="2" t="s">
        <v>963</v>
      </c>
    </row>
    <row r="923" spans="1:14" x14ac:dyDescent="0.3">
      <c r="A923" s="2" t="s">
        <v>14</v>
      </c>
      <c r="B923" s="2" t="s">
        <v>15</v>
      </c>
      <c r="C923" s="2" t="s">
        <v>16</v>
      </c>
      <c r="D923" s="2" t="str">
        <f>("029359")</f>
        <v>029359</v>
      </c>
      <c r="E923" s="2" t="str">
        <f>("622454293595")</f>
        <v>622454293595</v>
      </c>
      <c r="G923" s="2" t="s">
        <v>1013</v>
      </c>
      <c r="H923" s="5">
        <v>17383.89</v>
      </c>
      <c r="I923" s="2" t="s">
        <v>18</v>
      </c>
      <c r="J923" s="3">
        <v>43013</v>
      </c>
      <c r="K923" s="2">
        <v>3.33</v>
      </c>
      <c r="L923" s="2">
        <v>7.3410000000000002</v>
      </c>
      <c r="N923" s="2" t="s">
        <v>963</v>
      </c>
    </row>
    <row r="924" spans="1:14" x14ac:dyDescent="0.3">
      <c r="A924" s="2" t="s">
        <v>14</v>
      </c>
      <c r="B924" s="2" t="s">
        <v>15</v>
      </c>
      <c r="C924" s="2" t="s">
        <v>16</v>
      </c>
      <c r="D924" s="2" t="str">
        <f>("029364")</f>
        <v>029364</v>
      </c>
      <c r="E924" s="2" t="str">
        <f>("622454293649")</f>
        <v>622454293649</v>
      </c>
      <c r="G924" s="2" t="s">
        <v>1014</v>
      </c>
      <c r="H924" s="5">
        <v>18496.03</v>
      </c>
      <c r="I924" s="2" t="s">
        <v>18</v>
      </c>
      <c r="J924" s="3">
        <v>43013</v>
      </c>
      <c r="K924" s="2">
        <v>2.7719999999999998</v>
      </c>
      <c r="L924" s="2">
        <v>6.1109999999999998</v>
      </c>
      <c r="N924" s="2" t="s">
        <v>963</v>
      </c>
    </row>
    <row r="925" spans="1:14" x14ac:dyDescent="0.3">
      <c r="A925" s="2" t="s">
        <v>14</v>
      </c>
      <c r="B925" s="2" t="s">
        <v>15</v>
      </c>
      <c r="C925" s="2" t="s">
        <v>16</v>
      </c>
      <c r="D925" s="2" t="str">
        <f>("029369")</f>
        <v>029369</v>
      </c>
      <c r="E925" s="2" t="str">
        <f>("622454293694")</f>
        <v>622454293694</v>
      </c>
      <c r="G925" s="2" t="s">
        <v>1015</v>
      </c>
      <c r="H925" s="5">
        <v>18428.759999999998</v>
      </c>
      <c r="I925" s="2" t="s">
        <v>18</v>
      </c>
      <c r="J925" s="3">
        <v>43013</v>
      </c>
      <c r="K925" s="2">
        <v>2.7719999999999998</v>
      </c>
      <c r="L925" s="2">
        <v>6.1109999999999998</v>
      </c>
      <c r="N925" s="2" t="s">
        <v>963</v>
      </c>
    </row>
    <row r="926" spans="1:14" x14ac:dyDescent="0.3">
      <c r="A926" s="2" t="s">
        <v>14</v>
      </c>
      <c r="B926" s="2" t="s">
        <v>15</v>
      </c>
      <c r="C926" s="2" t="s">
        <v>16</v>
      </c>
      <c r="D926" s="2" t="str">
        <f>("029384")</f>
        <v>029384</v>
      </c>
      <c r="E926" s="2" t="str">
        <f>("622454293847")</f>
        <v>622454293847</v>
      </c>
      <c r="G926" s="2" t="s">
        <v>1016</v>
      </c>
      <c r="H926" s="5">
        <v>18428.759999999998</v>
      </c>
      <c r="I926" s="2" t="s">
        <v>18</v>
      </c>
      <c r="J926" s="3">
        <v>43013</v>
      </c>
      <c r="K926" s="2">
        <v>0.17100000000000001</v>
      </c>
      <c r="L926" s="2">
        <v>0.377</v>
      </c>
      <c r="N926" s="2" t="s">
        <v>963</v>
      </c>
    </row>
    <row r="927" spans="1:14" x14ac:dyDescent="0.3">
      <c r="A927" s="2" t="s">
        <v>14</v>
      </c>
      <c r="B927" s="2" t="s">
        <v>15</v>
      </c>
      <c r="C927" s="2" t="s">
        <v>16</v>
      </c>
      <c r="D927" s="2" t="str">
        <f>("029355")</f>
        <v>029355</v>
      </c>
      <c r="E927" s="2" t="str">
        <f>("622454293557")</f>
        <v>622454293557</v>
      </c>
      <c r="G927" s="2" t="s">
        <v>1017</v>
      </c>
      <c r="H927" s="5">
        <v>23155.35</v>
      </c>
      <c r="I927" s="2" t="s">
        <v>18</v>
      </c>
      <c r="J927" s="3">
        <v>43013</v>
      </c>
      <c r="K927" s="2">
        <v>7.8540000000000001</v>
      </c>
      <c r="L927" s="2">
        <v>17.315000000000001</v>
      </c>
      <c r="N927" s="2" t="s">
        <v>963</v>
      </c>
    </row>
    <row r="928" spans="1:14" x14ac:dyDescent="0.3">
      <c r="A928" s="2" t="s">
        <v>14</v>
      </c>
      <c r="B928" s="2" t="s">
        <v>15</v>
      </c>
      <c r="C928" s="2" t="s">
        <v>16</v>
      </c>
      <c r="D928" s="2" t="str">
        <f>("029360")</f>
        <v>029360</v>
      </c>
      <c r="E928" s="2" t="str">
        <f>("622454293601")</f>
        <v>622454293601</v>
      </c>
      <c r="G928" s="2" t="s">
        <v>1018</v>
      </c>
      <c r="H928" s="5">
        <v>16969.080000000002</v>
      </c>
      <c r="I928" s="2" t="s">
        <v>18</v>
      </c>
      <c r="J928" s="3">
        <v>43013</v>
      </c>
      <c r="K928" s="2">
        <v>3.9260000000000002</v>
      </c>
      <c r="L928" s="2">
        <v>8.6549999999999994</v>
      </c>
      <c r="N928" s="2" t="s">
        <v>963</v>
      </c>
    </row>
    <row r="929" spans="1:14" x14ac:dyDescent="0.3">
      <c r="A929" s="2" t="s">
        <v>14</v>
      </c>
      <c r="B929" s="2" t="s">
        <v>15</v>
      </c>
      <c r="C929" s="2" t="s">
        <v>16</v>
      </c>
      <c r="D929" s="2" t="str">
        <f>("029365")</f>
        <v>029365</v>
      </c>
      <c r="E929" s="2" t="str">
        <f>("622454293656")</f>
        <v>622454293656</v>
      </c>
      <c r="G929" s="2" t="s">
        <v>1019</v>
      </c>
      <c r="H929" s="5">
        <v>18325.62</v>
      </c>
      <c r="I929" s="2" t="s">
        <v>18</v>
      </c>
      <c r="J929" s="3">
        <v>43013</v>
      </c>
      <c r="K929" s="2">
        <v>2.79</v>
      </c>
      <c r="L929" s="2">
        <v>6.1509999999999998</v>
      </c>
      <c r="N929" s="2" t="s">
        <v>963</v>
      </c>
    </row>
    <row r="930" spans="1:14" x14ac:dyDescent="0.3">
      <c r="A930" s="2" t="s">
        <v>14</v>
      </c>
      <c r="B930" s="2" t="s">
        <v>15</v>
      </c>
      <c r="C930" s="2" t="s">
        <v>16</v>
      </c>
      <c r="D930" s="2" t="str">
        <f>("029374")</f>
        <v>029374</v>
      </c>
      <c r="E930" s="2" t="str">
        <f>("622454293748")</f>
        <v>622454293748</v>
      </c>
      <c r="G930" s="2" t="s">
        <v>1020</v>
      </c>
      <c r="H930" s="5">
        <v>17984.8</v>
      </c>
      <c r="I930" s="2" t="s">
        <v>18</v>
      </c>
      <c r="J930" s="3">
        <v>43013</v>
      </c>
      <c r="K930" s="2">
        <v>2.9449999999999998</v>
      </c>
      <c r="L930" s="2">
        <v>6.4930000000000003</v>
      </c>
      <c r="N930" s="2" t="s">
        <v>963</v>
      </c>
    </row>
    <row r="931" spans="1:14" x14ac:dyDescent="0.3">
      <c r="A931" s="2" t="s">
        <v>14</v>
      </c>
      <c r="B931" s="2" t="s">
        <v>15</v>
      </c>
      <c r="C931" s="2" t="s">
        <v>16</v>
      </c>
      <c r="D931" s="2" t="str">
        <f>("029385")</f>
        <v>029385</v>
      </c>
      <c r="E931" s="2" t="str">
        <f>("622454293854")</f>
        <v>622454293854</v>
      </c>
      <c r="G931" s="2" t="s">
        <v>1021</v>
      </c>
      <c r="H931" s="5">
        <v>17984.8</v>
      </c>
      <c r="I931" s="2" t="s">
        <v>18</v>
      </c>
      <c r="J931" s="3">
        <v>43013</v>
      </c>
      <c r="K931" s="2">
        <v>2.4590000000000001</v>
      </c>
      <c r="L931" s="2">
        <v>5.4210000000000003</v>
      </c>
      <c r="N931" s="2" t="s">
        <v>963</v>
      </c>
    </row>
    <row r="932" spans="1:14" x14ac:dyDescent="0.3">
      <c r="A932" s="2" t="s">
        <v>14</v>
      </c>
      <c r="B932" s="2" t="s">
        <v>15</v>
      </c>
      <c r="C932" s="2" t="s">
        <v>16</v>
      </c>
      <c r="D932" s="2" t="str">
        <f>("029401")</f>
        <v>029401</v>
      </c>
      <c r="E932" s="2" t="str">
        <f>("622454294011")</f>
        <v>622454294011</v>
      </c>
      <c r="G932" s="2" t="s">
        <v>1022</v>
      </c>
      <c r="H932" s="5">
        <v>5401.49</v>
      </c>
      <c r="I932" s="2" t="s">
        <v>18</v>
      </c>
      <c r="J932" s="3">
        <v>43013</v>
      </c>
      <c r="K932" s="2">
        <v>1E-3</v>
      </c>
      <c r="L932" s="2">
        <v>2E-3</v>
      </c>
      <c r="N932" s="2" t="s">
        <v>963</v>
      </c>
    </row>
    <row r="933" spans="1:14" x14ac:dyDescent="0.3">
      <c r="A933" s="2" t="s">
        <v>14</v>
      </c>
      <c r="B933" s="2" t="s">
        <v>15</v>
      </c>
      <c r="C933" s="2" t="s">
        <v>16</v>
      </c>
      <c r="D933" s="2" t="str">
        <f>("029408")</f>
        <v>029408</v>
      </c>
      <c r="E933" s="2" t="str">
        <f>("622454294080")</f>
        <v>622454294080</v>
      </c>
      <c r="G933" s="2" t="s">
        <v>1023</v>
      </c>
      <c r="H933" s="5">
        <v>5024.8</v>
      </c>
      <c r="I933" s="2" t="s">
        <v>18</v>
      </c>
      <c r="J933" s="3">
        <v>43013</v>
      </c>
      <c r="K933" s="2">
        <v>0</v>
      </c>
      <c r="L933" s="2">
        <v>0</v>
      </c>
      <c r="N933" s="2" t="s">
        <v>963</v>
      </c>
    </row>
    <row r="934" spans="1:14" x14ac:dyDescent="0.3">
      <c r="A934" s="2" t="s">
        <v>14</v>
      </c>
      <c r="B934" s="2" t="s">
        <v>15</v>
      </c>
      <c r="C934" s="2" t="s">
        <v>16</v>
      </c>
      <c r="D934" s="2" t="str">
        <f>("029415")</f>
        <v>029415</v>
      </c>
      <c r="E934" s="2" t="str">
        <f>("622454294158")</f>
        <v>622454294158</v>
      </c>
      <c r="G934" s="2" t="s">
        <v>1024</v>
      </c>
      <c r="H934" s="5">
        <v>5430.64</v>
      </c>
      <c r="I934" s="2" t="s">
        <v>18</v>
      </c>
      <c r="J934" s="3">
        <v>43013</v>
      </c>
      <c r="K934" s="2">
        <v>0</v>
      </c>
      <c r="L934" s="2">
        <v>0</v>
      </c>
      <c r="N934" s="2" t="s">
        <v>963</v>
      </c>
    </row>
    <row r="935" spans="1:14" x14ac:dyDescent="0.3">
      <c r="A935" s="2" t="s">
        <v>14</v>
      </c>
      <c r="B935" s="2" t="s">
        <v>15</v>
      </c>
      <c r="C935" s="2" t="s">
        <v>16</v>
      </c>
      <c r="D935" s="2" t="str">
        <f>("029422")</f>
        <v>029422</v>
      </c>
      <c r="E935" s="2" t="str">
        <f>("622454294226")</f>
        <v>622454294226</v>
      </c>
      <c r="G935" s="2" t="s">
        <v>1025</v>
      </c>
      <c r="H935" s="5">
        <v>5345.44</v>
      </c>
      <c r="I935" s="2" t="s">
        <v>18</v>
      </c>
      <c r="J935" s="3">
        <v>43013</v>
      </c>
      <c r="K935" s="2">
        <v>4.1000000000000002E-2</v>
      </c>
      <c r="L935" s="2">
        <v>0.09</v>
      </c>
      <c r="N935" s="2" t="s">
        <v>963</v>
      </c>
    </row>
    <row r="936" spans="1:14" x14ac:dyDescent="0.3">
      <c r="A936" s="2" t="s">
        <v>14</v>
      </c>
      <c r="B936" s="2" t="s">
        <v>15</v>
      </c>
      <c r="C936" s="2" t="s">
        <v>16</v>
      </c>
      <c r="D936" s="2" t="str">
        <f>("029429")</f>
        <v>029429</v>
      </c>
      <c r="E936" s="2" t="str">
        <f>("622454294295")</f>
        <v>622454294295</v>
      </c>
      <c r="G936" s="2" t="s">
        <v>1026</v>
      </c>
      <c r="H936" s="5">
        <v>5345.44</v>
      </c>
      <c r="I936" s="2" t="s">
        <v>18</v>
      </c>
      <c r="J936" s="3">
        <v>43013</v>
      </c>
      <c r="K936" s="2">
        <v>0</v>
      </c>
      <c r="L936" s="2">
        <v>0</v>
      </c>
      <c r="N936" s="2" t="s">
        <v>963</v>
      </c>
    </row>
    <row r="937" spans="1:14" x14ac:dyDescent="0.3">
      <c r="A937" s="2" t="s">
        <v>14</v>
      </c>
      <c r="B937" s="2" t="s">
        <v>15</v>
      </c>
      <c r="C937" s="2" t="s">
        <v>16</v>
      </c>
      <c r="D937" s="2" t="str">
        <f>("029402")</f>
        <v>029402</v>
      </c>
      <c r="E937" s="2" t="str">
        <f>("622454294028")</f>
        <v>622454294028</v>
      </c>
      <c r="G937" s="2" t="s">
        <v>1027</v>
      </c>
      <c r="H937" s="5">
        <v>11197.62</v>
      </c>
      <c r="I937" s="2" t="s">
        <v>18</v>
      </c>
      <c r="J937" s="3">
        <v>43013</v>
      </c>
      <c r="K937" s="2">
        <v>3.2839999999999998</v>
      </c>
      <c r="L937" s="2">
        <v>7.24</v>
      </c>
      <c r="N937" s="2" t="s">
        <v>963</v>
      </c>
    </row>
    <row r="938" spans="1:14" x14ac:dyDescent="0.3">
      <c r="A938" s="2" t="s">
        <v>14</v>
      </c>
      <c r="B938" s="2" t="s">
        <v>15</v>
      </c>
      <c r="C938" s="2" t="s">
        <v>16</v>
      </c>
      <c r="D938" s="2" t="str">
        <f>("029409")</f>
        <v>029409</v>
      </c>
      <c r="E938" s="2" t="str">
        <f>("622454294097")</f>
        <v>622454294097</v>
      </c>
      <c r="G938" s="2" t="s">
        <v>1028</v>
      </c>
      <c r="H938" s="5">
        <v>6536.06</v>
      </c>
      <c r="I938" s="2" t="s">
        <v>18</v>
      </c>
      <c r="J938" s="3">
        <v>43013</v>
      </c>
      <c r="K938" s="2">
        <v>0</v>
      </c>
      <c r="L938" s="2">
        <v>0</v>
      </c>
      <c r="N938" s="2" t="s">
        <v>963</v>
      </c>
    </row>
    <row r="939" spans="1:14" x14ac:dyDescent="0.3">
      <c r="A939" s="2" t="s">
        <v>14</v>
      </c>
      <c r="B939" s="2" t="s">
        <v>15</v>
      </c>
      <c r="C939" s="2" t="s">
        <v>16</v>
      </c>
      <c r="D939" s="2" t="str">
        <f>("029416")</f>
        <v>029416</v>
      </c>
      <c r="E939" s="2" t="str">
        <f>("622454294165")</f>
        <v>622454294165</v>
      </c>
      <c r="G939" s="2" t="s">
        <v>1029</v>
      </c>
      <c r="H939" s="5">
        <v>6953.11</v>
      </c>
      <c r="I939" s="2" t="s">
        <v>18</v>
      </c>
      <c r="J939" s="3">
        <v>43013</v>
      </c>
      <c r="K939" s="2">
        <v>0</v>
      </c>
      <c r="L939" s="2">
        <v>0</v>
      </c>
      <c r="N939" s="2" t="s">
        <v>963</v>
      </c>
    </row>
    <row r="940" spans="1:14" x14ac:dyDescent="0.3">
      <c r="A940" s="2" t="s">
        <v>14</v>
      </c>
      <c r="B940" s="2" t="s">
        <v>15</v>
      </c>
      <c r="C940" s="2" t="s">
        <v>16</v>
      </c>
      <c r="D940" s="2" t="str">
        <f>("029423")</f>
        <v>029423</v>
      </c>
      <c r="E940" s="2" t="str">
        <f>("622454294233")</f>
        <v>622454294233</v>
      </c>
      <c r="G940" s="2" t="s">
        <v>1030</v>
      </c>
      <c r="H940" s="5">
        <v>7056.25</v>
      </c>
      <c r="I940" s="2" t="s">
        <v>18</v>
      </c>
      <c r="J940" s="3">
        <v>43013</v>
      </c>
      <c r="K940" s="2">
        <v>0</v>
      </c>
      <c r="L940" s="2">
        <v>0</v>
      </c>
      <c r="N940" s="2" t="s">
        <v>963</v>
      </c>
    </row>
    <row r="941" spans="1:14" x14ac:dyDescent="0.3">
      <c r="A941" s="2" t="s">
        <v>14</v>
      </c>
      <c r="B941" s="2" t="s">
        <v>15</v>
      </c>
      <c r="C941" s="2" t="s">
        <v>16</v>
      </c>
      <c r="D941" s="2" t="str">
        <f>("029430")</f>
        <v>029430</v>
      </c>
      <c r="E941" s="2" t="str">
        <f>("622454294301")</f>
        <v>622454294301</v>
      </c>
      <c r="G941" s="2" t="s">
        <v>1031</v>
      </c>
      <c r="H941" s="5">
        <v>7056.25</v>
      </c>
      <c r="I941" s="2" t="s">
        <v>18</v>
      </c>
      <c r="J941" s="3">
        <v>43013</v>
      </c>
      <c r="K941" s="2">
        <v>0</v>
      </c>
      <c r="L941" s="2">
        <v>0</v>
      </c>
      <c r="N941" s="2" t="s">
        <v>963</v>
      </c>
    </row>
    <row r="942" spans="1:14" x14ac:dyDescent="0.3">
      <c r="A942" s="2" t="s">
        <v>14</v>
      </c>
      <c r="B942" s="2" t="s">
        <v>15</v>
      </c>
      <c r="C942" s="2" t="s">
        <v>16</v>
      </c>
      <c r="D942" s="2" t="str">
        <f>("029403")</f>
        <v>029403</v>
      </c>
      <c r="E942" s="2" t="str">
        <f>("622454294035")</f>
        <v>622454294035</v>
      </c>
      <c r="G942" s="2" t="s">
        <v>1032</v>
      </c>
      <c r="H942" s="5">
        <v>11838.89</v>
      </c>
      <c r="I942" s="2" t="s">
        <v>18</v>
      </c>
      <c r="J942" s="3">
        <v>43013</v>
      </c>
      <c r="K942" s="2">
        <v>5.4509999999999996</v>
      </c>
      <c r="L942" s="2">
        <v>12.016999999999999</v>
      </c>
      <c r="N942" s="2" t="s">
        <v>963</v>
      </c>
    </row>
    <row r="943" spans="1:14" x14ac:dyDescent="0.3">
      <c r="A943" s="2" t="s">
        <v>14</v>
      </c>
      <c r="B943" s="2" t="s">
        <v>15</v>
      </c>
      <c r="C943" s="2" t="s">
        <v>16</v>
      </c>
      <c r="D943" s="2" t="str">
        <f>("029410")</f>
        <v>029410</v>
      </c>
      <c r="E943" s="2" t="str">
        <f>("622454294103")</f>
        <v>622454294103</v>
      </c>
      <c r="G943" s="2" t="s">
        <v>1033</v>
      </c>
      <c r="H943" s="5">
        <v>8832.08</v>
      </c>
      <c r="I943" s="2" t="s">
        <v>18</v>
      </c>
      <c r="J943" s="3">
        <v>43013</v>
      </c>
      <c r="K943" s="2">
        <v>2.7250000000000001</v>
      </c>
      <c r="L943" s="2">
        <v>6.008</v>
      </c>
      <c r="N943" s="2" t="s">
        <v>963</v>
      </c>
    </row>
    <row r="944" spans="1:14" x14ac:dyDescent="0.3">
      <c r="A944" s="2" t="s">
        <v>14</v>
      </c>
      <c r="B944" s="2" t="s">
        <v>15</v>
      </c>
      <c r="C944" s="2" t="s">
        <v>16</v>
      </c>
      <c r="D944" s="2" t="str">
        <f>("029417")</f>
        <v>029417</v>
      </c>
      <c r="E944" s="2" t="str">
        <f>("622454294172")</f>
        <v>622454294172</v>
      </c>
      <c r="G944" s="2" t="s">
        <v>1034</v>
      </c>
      <c r="H944" s="5">
        <v>9397.1200000000008</v>
      </c>
      <c r="I944" s="2" t="s">
        <v>18</v>
      </c>
      <c r="J944" s="3">
        <v>43013</v>
      </c>
      <c r="K944" s="2">
        <v>1.8169999999999999</v>
      </c>
      <c r="L944" s="2">
        <v>4.0060000000000002</v>
      </c>
      <c r="N944" s="2" t="s">
        <v>963</v>
      </c>
    </row>
    <row r="945" spans="1:14" x14ac:dyDescent="0.3">
      <c r="A945" s="2" t="s">
        <v>14</v>
      </c>
      <c r="B945" s="2" t="s">
        <v>15</v>
      </c>
      <c r="C945" s="2" t="s">
        <v>16</v>
      </c>
      <c r="D945" s="2" t="str">
        <f>("029424")</f>
        <v>029424</v>
      </c>
      <c r="E945" s="2" t="str">
        <f>("622454294240")</f>
        <v>622454294240</v>
      </c>
      <c r="G945" s="2" t="s">
        <v>1035</v>
      </c>
      <c r="H945" s="5">
        <v>9397.1200000000008</v>
      </c>
      <c r="I945" s="2" t="s">
        <v>18</v>
      </c>
      <c r="J945" s="3">
        <v>43013</v>
      </c>
      <c r="K945" s="2">
        <v>1E-3</v>
      </c>
      <c r="L945" s="2">
        <v>2E-3</v>
      </c>
      <c r="N945" s="2" t="s">
        <v>963</v>
      </c>
    </row>
    <row r="946" spans="1:14" x14ac:dyDescent="0.3">
      <c r="A946" s="2" t="s">
        <v>14</v>
      </c>
      <c r="B946" s="2" t="s">
        <v>15</v>
      </c>
      <c r="C946" s="2" t="s">
        <v>16</v>
      </c>
      <c r="D946" s="2" t="str">
        <f>("029431")</f>
        <v>029431</v>
      </c>
      <c r="E946" s="2" t="str">
        <f>("622454294318")</f>
        <v>622454294318</v>
      </c>
      <c r="G946" s="2" t="s">
        <v>1036</v>
      </c>
      <c r="H946" s="5">
        <v>9397.1200000000008</v>
      </c>
      <c r="I946" s="2" t="s">
        <v>18</v>
      </c>
      <c r="J946" s="3">
        <v>43013</v>
      </c>
      <c r="K946" s="2">
        <v>2.75</v>
      </c>
      <c r="L946" s="2">
        <v>6.0629999999999997</v>
      </c>
      <c r="N946" s="2" t="s">
        <v>963</v>
      </c>
    </row>
    <row r="947" spans="1:14" x14ac:dyDescent="0.3">
      <c r="A947" s="2" t="s">
        <v>14</v>
      </c>
      <c r="B947" s="2" t="s">
        <v>15</v>
      </c>
      <c r="C947" s="2" t="s">
        <v>16</v>
      </c>
      <c r="D947" s="2" t="str">
        <f>("029404")</f>
        <v>029404</v>
      </c>
      <c r="E947" s="2" t="str">
        <f>("622454294042")</f>
        <v>622454294042</v>
      </c>
      <c r="G947" s="2" t="s">
        <v>1037</v>
      </c>
      <c r="H947" s="5">
        <v>19785.3</v>
      </c>
      <c r="I947" s="2" t="s">
        <v>18</v>
      </c>
      <c r="J947" s="3">
        <v>43013</v>
      </c>
      <c r="K947" s="2">
        <v>8.3260000000000005</v>
      </c>
      <c r="L947" s="2">
        <v>18.356000000000002</v>
      </c>
      <c r="N947" s="2" t="s">
        <v>963</v>
      </c>
    </row>
    <row r="948" spans="1:14" x14ac:dyDescent="0.3">
      <c r="A948" s="2" t="s">
        <v>14</v>
      </c>
      <c r="B948" s="2" t="s">
        <v>15</v>
      </c>
      <c r="C948" s="2" t="s">
        <v>16</v>
      </c>
      <c r="D948" s="2" t="str">
        <f>("029411")</f>
        <v>029411</v>
      </c>
      <c r="E948" s="2" t="str">
        <f>("622454294110")</f>
        <v>622454294110</v>
      </c>
      <c r="G948" s="2" t="s">
        <v>1038</v>
      </c>
      <c r="H948" s="5">
        <v>11856.83</v>
      </c>
      <c r="I948" s="2" t="s">
        <v>18</v>
      </c>
      <c r="J948" s="3">
        <v>43013</v>
      </c>
      <c r="K948" s="2">
        <v>4.1630000000000003</v>
      </c>
      <c r="L948" s="2">
        <v>9.1780000000000008</v>
      </c>
      <c r="N948" s="2" t="s">
        <v>963</v>
      </c>
    </row>
    <row r="949" spans="1:14" x14ac:dyDescent="0.3">
      <c r="A949" s="2" t="s">
        <v>14</v>
      </c>
      <c r="B949" s="2" t="s">
        <v>15</v>
      </c>
      <c r="C949" s="2" t="s">
        <v>16</v>
      </c>
      <c r="D949" s="2" t="str">
        <f>("029418")</f>
        <v>029418</v>
      </c>
      <c r="E949" s="2" t="str">
        <f>("622454294189")</f>
        <v>622454294189</v>
      </c>
      <c r="G949" s="2" t="s">
        <v>1039</v>
      </c>
      <c r="H949" s="5">
        <v>16569.97</v>
      </c>
      <c r="I949" s="2" t="s">
        <v>18</v>
      </c>
      <c r="J949" s="3">
        <v>43013</v>
      </c>
      <c r="K949" s="2">
        <v>3.33</v>
      </c>
      <c r="L949" s="2">
        <v>7.3410000000000002</v>
      </c>
      <c r="N949" s="2" t="s">
        <v>963</v>
      </c>
    </row>
    <row r="950" spans="1:14" x14ac:dyDescent="0.3">
      <c r="A950" s="2" t="s">
        <v>14</v>
      </c>
      <c r="B950" s="2" t="s">
        <v>15</v>
      </c>
      <c r="C950" s="2" t="s">
        <v>16</v>
      </c>
      <c r="D950" s="2" t="str">
        <f>("029425")</f>
        <v>029425</v>
      </c>
      <c r="E950" s="2" t="str">
        <f>("622454294257")</f>
        <v>622454294257</v>
      </c>
      <c r="G950" s="2" t="s">
        <v>1040</v>
      </c>
      <c r="H950" s="5">
        <v>12614.7</v>
      </c>
      <c r="I950" s="2" t="s">
        <v>18</v>
      </c>
      <c r="J950" s="3">
        <v>43013</v>
      </c>
      <c r="K950" s="2">
        <v>3.274</v>
      </c>
      <c r="L950" s="2">
        <v>7.218</v>
      </c>
      <c r="N950" s="2" t="s">
        <v>963</v>
      </c>
    </row>
    <row r="951" spans="1:14" x14ac:dyDescent="0.3">
      <c r="A951" s="2" t="s">
        <v>14</v>
      </c>
      <c r="B951" s="2" t="s">
        <v>15</v>
      </c>
      <c r="C951" s="2" t="s">
        <v>16</v>
      </c>
      <c r="D951" s="2" t="str">
        <f>("029432")</f>
        <v>029432</v>
      </c>
      <c r="E951" s="2" t="str">
        <f>("622454294325")</f>
        <v>622454294325</v>
      </c>
      <c r="G951" s="2" t="s">
        <v>1041</v>
      </c>
      <c r="H951" s="5">
        <v>12614.7</v>
      </c>
      <c r="I951" s="2" t="s">
        <v>18</v>
      </c>
      <c r="J951" s="3">
        <v>43013</v>
      </c>
      <c r="K951" s="2">
        <v>1.665</v>
      </c>
      <c r="L951" s="2">
        <v>3.6709999999999998</v>
      </c>
      <c r="N951" s="2" t="s">
        <v>963</v>
      </c>
    </row>
    <row r="952" spans="1:14" x14ac:dyDescent="0.3">
      <c r="A952" s="2" t="s">
        <v>14</v>
      </c>
      <c r="B952" s="2" t="s">
        <v>15</v>
      </c>
      <c r="C952" s="2" t="s">
        <v>16</v>
      </c>
      <c r="D952" s="2" t="str">
        <f>("029405")</f>
        <v>029405</v>
      </c>
      <c r="E952" s="2" t="str">
        <f>("622454294059")</f>
        <v>622454294059</v>
      </c>
      <c r="G952" s="2" t="s">
        <v>1042</v>
      </c>
      <c r="H952" s="5">
        <v>27227.21</v>
      </c>
      <c r="I952" s="2" t="s">
        <v>18</v>
      </c>
      <c r="J952" s="3">
        <v>43013</v>
      </c>
      <c r="K952" s="2">
        <v>11.78</v>
      </c>
      <c r="L952" s="2">
        <v>25.97</v>
      </c>
      <c r="N952" s="2" t="s">
        <v>963</v>
      </c>
    </row>
    <row r="953" spans="1:14" x14ac:dyDescent="0.3">
      <c r="A953" s="2" t="s">
        <v>14</v>
      </c>
      <c r="B953" s="2" t="s">
        <v>15</v>
      </c>
      <c r="C953" s="2" t="s">
        <v>16</v>
      </c>
      <c r="D953" s="2" t="str">
        <f>("029412")</f>
        <v>029412</v>
      </c>
      <c r="E953" s="2" t="str">
        <f>("622454294127")</f>
        <v>622454294127</v>
      </c>
      <c r="G953" s="2" t="s">
        <v>1043</v>
      </c>
      <c r="H953" s="5">
        <v>21558.89</v>
      </c>
      <c r="I953" s="2" t="s">
        <v>18</v>
      </c>
      <c r="J953" s="3">
        <v>43013</v>
      </c>
      <c r="K953" s="2">
        <v>5.89</v>
      </c>
      <c r="L953" s="2">
        <v>12.984999999999999</v>
      </c>
      <c r="N953" s="2" t="s">
        <v>963</v>
      </c>
    </row>
    <row r="954" spans="1:14" x14ac:dyDescent="0.3">
      <c r="A954" s="2" t="s">
        <v>14</v>
      </c>
      <c r="B954" s="2" t="s">
        <v>15</v>
      </c>
      <c r="C954" s="2" t="s">
        <v>16</v>
      </c>
      <c r="D954" s="2" t="str">
        <f>("029419")</f>
        <v>029419</v>
      </c>
      <c r="E954" s="2" t="str">
        <f>("622454294196")</f>
        <v>622454294196</v>
      </c>
      <c r="G954" s="2" t="s">
        <v>1044</v>
      </c>
      <c r="H954" s="5">
        <v>21558.89</v>
      </c>
      <c r="I954" s="2" t="s">
        <v>18</v>
      </c>
      <c r="J954" s="3">
        <v>43013</v>
      </c>
      <c r="K954" s="2">
        <v>1E-3</v>
      </c>
      <c r="L954" s="2">
        <v>2E-3</v>
      </c>
      <c r="N954" s="2" t="s">
        <v>963</v>
      </c>
    </row>
    <row r="955" spans="1:14" x14ac:dyDescent="0.3">
      <c r="A955" s="2" t="s">
        <v>14</v>
      </c>
      <c r="B955" s="2" t="s">
        <v>15</v>
      </c>
      <c r="C955" s="2" t="s">
        <v>16</v>
      </c>
      <c r="D955" s="2" t="str">
        <f>("029426")</f>
        <v>029426</v>
      </c>
      <c r="E955" s="2" t="str">
        <f>("622454294264")</f>
        <v>622454294264</v>
      </c>
      <c r="G955" s="2" t="s">
        <v>1045</v>
      </c>
      <c r="H955" s="5">
        <v>22852.65</v>
      </c>
      <c r="I955" s="2" t="s">
        <v>18</v>
      </c>
      <c r="J955" s="3">
        <v>43013</v>
      </c>
      <c r="K955" s="2">
        <v>2.75</v>
      </c>
      <c r="L955" s="2">
        <v>6.0629999999999997</v>
      </c>
      <c r="N955" s="2" t="s">
        <v>963</v>
      </c>
    </row>
    <row r="956" spans="1:14" x14ac:dyDescent="0.3">
      <c r="A956" s="2" t="s">
        <v>14</v>
      </c>
      <c r="B956" s="2" t="s">
        <v>15</v>
      </c>
      <c r="C956" s="2" t="s">
        <v>16</v>
      </c>
      <c r="D956" s="2" t="str">
        <f>("029433")</f>
        <v>029433</v>
      </c>
      <c r="E956" s="2" t="str">
        <f>("622454294332")</f>
        <v>622454294332</v>
      </c>
      <c r="G956" s="2" t="s">
        <v>1046</v>
      </c>
      <c r="H956" s="5">
        <v>22852.65</v>
      </c>
      <c r="I956" s="2" t="s">
        <v>18</v>
      </c>
      <c r="J956" s="3">
        <v>43013</v>
      </c>
      <c r="K956" s="2">
        <v>0.14499999999999999</v>
      </c>
      <c r="L956" s="2">
        <v>0.32</v>
      </c>
      <c r="N956" s="2" t="s">
        <v>963</v>
      </c>
    </row>
    <row r="957" spans="1:14" x14ac:dyDescent="0.3">
      <c r="A957" s="2" t="s">
        <v>14</v>
      </c>
      <c r="B957" s="2" t="s">
        <v>15</v>
      </c>
      <c r="C957" s="2" t="s">
        <v>16</v>
      </c>
      <c r="D957" s="2" t="str">
        <f>("029445")</f>
        <v>029445</v>
      </c>
      <c r="E957" s="2" t="str">
        <f>("622454294455")</f>
        <v>622454294455</v>
      </c>
      <c r="G957" s="2" t="s">
        <v>1047</v>
      </c>
      <c r="H957" s="5">
        <v>51048.5</v>
      </c>
      <c r="I957" s="2" t="s">
        <v>18</v>
      </c>
      <c r="J957" s="3">
        <v>43013</v>
      </c>
      <c r="K957" s="2">
        <v>1.02</v>
      </c>
      <c r="L957" s="2">
        <v>2.2490000000000001</v>
      </c>
      <c r="N957" s="2" t="s">
        <v>963</v>
      </c>
    </row>
    <row r="958" spans="1:14" x14ac:dyDescent="0.3">
      <c r="A958" s="2" t="s">
        <v>14</v>
      </c>
      <c r="B958" s="2" t="s">
        <v>15</v>
      </c>
      <c r="C958" s="2" t="s">
        <v>16</v>
      </c>
      <c r="D958" s="2" t="str">
        <f>("029460")</f>
        <v>029460</v>
      </c>
      <c r="E958" s="2" t="str">
        <f>("622454294608")</f>
        <v>622454294608</v>
      </c>
      <c r="G958" s="2" t="s">
        <v>1048</v>
      </c>
      <c r="H958" s="5">
        <v>30947.040000000001</v>
      </c>
      <c r="I958" s="2" t="s">
        <v>18</v>
      </c>
      <c r="J958" s="3">
        <v>43013</v>
      </c>
      <c r="K958" s="2">
        <v>0.161</v>
      </c>
      <c r="L958" s="2">
        <v>0.35499999999999998</v>
      </c>
      <c r="N958" s="2" t="s">
        <v>963</v>
      </c>
    </row>
    <row r="959" spans="1:14" x14ac:dyDescent="0.3">
      <c r="A959" s="2" t="s">
        <v>14</v>
      </c>
      <c r="B959" s="2" t="s">
        <v>15</v>
      </c>
      <c r="C959" s="2" t="s">
        <v>16</v>
      </c>
      <c r="D959" s="2" t="str">
        <f>("029467")</f>
        <v>029467</v>
      </c>
      <c r="E959" s="2" t="str">
        <f>("622454294677")</f>
        <v>622454294677</v>
      </c>
      <c r="G959" s="2" t="s">
        <v>1049</v>
      </c>
      <c r="H959" s="5">
        <v>29581.54</v>
      </c>
      <c r="I959" s="2" t="s">
        <v>18</v>
      </c>
      <c r="J959" s="3">
        <v>43013</v>
      </c>
      <c r="K959" s="2">
        <v>0</v>
      </c>
      <c r="L959" s="2">
        <v>0</v>
      </c>
      <c r="N959" s="2" t="s">
        <v>963</v>
      </c>
    </row>
    <row r="960" spans="1:14" x14ac:dyDescent="0.3">
      <c r="A960" s="2" t="s">
        <v>14</v>
      </c>
      <c r="B960" s="2" t="s">
        <v>15</v>
      </c>
      <c r="C960" s="2" t="s">
        <v>16</v>
      </c>
      <c r="D960" s="2" t="str">
        <f>("029511")</f>
        <v>029511</v>
      </c>
      <c r="E960" s="2" t="str">
        <f>("622454295117")</f>
        <v>622454295117</v>
      </c>
      <c r="G960" s="2" t="s">
        <v>1050</v>
      </c>
      <c r="H960" s="5">
        <v>19901.900000000001</v>
      </c>
      <c r="I960" s="2" t="s">
        <v>18</v>
      </c>
      <c r="J960" s="3">
        <v>43013</v>
      </c>
      <c r="K960" s="2">
        <v>6.101</v>
      </c>
      <c r="L960" s="2">
        <v>13.45</v>
      </c>
      <c r="N960" s="2" t="s">
        <v>963</v>
      </c>
    </row>
    <row r="961" spans="1:14" x14ac:dyDescent="0.3">
      <c r="A961" s="2" t="s">
        <v>14</v>
      </c>
      <c r="B961" s="2" t="s">
        <v>15</v>
      </c>
      <c r="C961" s="2" t="s">
        <v>16</v>
      </c>
      <c r="D961" s="2" t="str">
        <f>("029527")</f>
        <v>029527</v>
      </c>
      <c r="E961" s="2" t="str">
        <f>("622454295278")</f>
        <v>622454295278</v>
      </c>
      <c r="G961" s="2" t="s">
        <v>1051</v>
      </c>
      <c r="H961" s="5">
        <v>19901.900000000001</v>
      </c>
      <c r="I961" s="2" t="s">
        <v>18</v>
      </c>
      <c r="J961" s="3">
        <v>43013</v>
      </c>
      <c r="K961" s="2">
        <v>0</v>
      </c>
      <c r="L961" s="2">
        <v>0</v>
      </c>
      <c r="N961" s="2" t="s">
        <v>963</v>
      </c>
    </row>
    <row r="962" spans="1:14" x14ac:dyDescent="0.3">
      <c r="A962" s="2" t="s">
        <v>14</v>
      </c>
      <c r="B962" s="2" t="s">
        <v>15</v>
      </c>
      <c r="C962" s="2" t="s">
        <v>16</v>
      </c>
      <c r="D962" s="2" t="str">
        <f>("029446")</f>
        <v>029446</v>
      </c>
      <c r="E962" s="2" t="str">
        <f>("622454294462")</f>
        <v>622454294462</v>
      </c>
      <c r="G962" s="2" t="s">
        <v>1052</v>
      </c>
      <c r="H962" s="5">
        <v>72674.66</v>
      </c>
      <c r="I962" s="2" t="s">
        <v>18</v>
      </c>
      <c r="J962" s="3">
        <v>43013</v>
      </c>
      <c r="K962" s="2">
        <v>47.142000000000003</v>
      </c>
      <c r="L962" s="2">
        <v>103.93</v>
      </c>
      <c r="N962" s="2" t="s">
        <v>963</v>
      </c>
    </row>
    <row r="963" spans="1:14" x14ac:dyDescent="0.3">
      <c r="A963" s="2" t="s">
        <v>14</v>
      </c>
      <c r="B963" s="2" t="s">
        <v>15</v>
      </c>
      <c r="C963" s="2" t="s">
        <v>16</v>
      </c>
      <c r="D963" s="2" t="str">
        <f>("029461")</f>
        <v>029461</v>
      </c>
      <c r="E963" s="2" t="str">
        <f>("622454294615")</f>
        <v>622454294615</v>
      </c>
      <c r="G963" s="2" t="s">
        <v>1053</v>
      </c>
      <c r="H963" s="5">
        <v>32687</v>
      </c>
      <c r="I963" s="2" t="s">
        <v>18</v>
      </c>
      <c r="J963" s="3">
        <v>43013</v>
      </c>
      <c r="K963" s="2">
        <v>11.97</v>
      </c>
      <c r="L963" s="2">
        <v>26.388999999999999</v>
      </c>
      <c r="N963" s="2" t="s">
        <v>963</v>
      </c>
    </row>
    <row r="964" spans="1:14" x14ac:dyDescent="0.3">
      <c r="A964" s="2" t="s">
        <v>14</v>
      </c>
      <c r="B964" s="2" t="s">
        <v>15</v>
      </c>
      <c r="C964" s="2" t="s">
        <v>16</v>
      </c>
      <c r="D964" s="2" t="str">
        <f>("029468")</f>
        <v>029468</v>
      </c>
      <c r="E964" s="2" t="str">
        <f>("622454064638")</f>
        <v>622454064638</v>
      </c>
      <c r="G964" s="2" t="s">
        <v>1054</v>
      </c>
      <c r="H964" s="5">
        <v>34772.26</v>
      </c>
      <c r="I964" s="2" t="s">
        <v>18</v>
      </c>
      <c r="J964" s="3">
        <v>43013</v>
      </c>
      <c r="K964" s="2">
        <v>11.785</v>
      </c>
      <c r="L964" s="2">
        <v>25.981000000000002</v>
      </c>
      <c r="N964" s="2" t="s">
        <v>963</v>
      </c>
    </row>
    <row r="965" spans="1:14" x14ac:dyDescent="0.3">
      <c r="A965" s="2" t="s">
        <v>14</v>
      </c>
      <c r="B965" s="2" t="s">
        <v>15</v>
      </c>
      <c r="C965" s="2" t="s">
        <v>16</v>
      </c>
      <c r="D965" s="2" t="str">
        <f>("029512")</f>
        <v>029512</v>
      </c>
      <c r="E965" s="2" t="str">
        <f>("622454295124")</f>
        <v>622454295124</v>
      </c>
      <c r="G965" s="2" t="s">
        <v>1055</v>
      </c>
      <c r="H965" s="5">
        <v>35303.67</v>
      </c>
      <c r="I965" s="2" t="s">
        <v>18</v>
      </c>
      <c r="J965" s="3">
        <v>43013</v>
      </c>
      <c r="K965" s="2">
        <v>8.5609999999999999</v>
      </c>
      <c r="L965" s="2">
        <v>18.873999999999999</v>
      </c>
      <c r="N965" s="2" t="s">
        <v>963</v>
      </c>
    </row>
    <row r="966" spans="1:14" x14ac:dyDescent="0.3">
      <c r="A966" s="2" t="s">
        <v>14</v>
      </c>
      <c r="B966" s="2" t="s">
        <v>15</v>
      </c>
      <c r="C966" s="2" t="s">
        <v>16</v>
      </c>
      <c r="D966" s="2" t="str">
        <f>("029528")</f>
        <v>029528</v>
      </c>
      <c r="E966" s="2" t="str">
        <f>("622454295285")</f>
        <v>622454295285</v>
      </c>
      <c r="G966" s="2" t="s">
        <v>1056</v>
      </c>
      <c r="H966" s="5">
        <v>35303.67</v>
      </c>
      <c r="I966" s="2" t="s">
        <v>18</v>
      </c>
      <c r="J966" s="3">
        <v>43013</v>
      </c>
      <c r="K966" s="2">
        <v>4.6280000000000001</v>
      </c>
      <c r="L966" s="2">
        <v>10.202999999999999</v>
      </c>
      <c r="N966" s="2" t="s">
        <v>963</v>
      </c>
    </row>
    <row r="967" spans="1:14" x14ac:dyDescent="0.3">
      <c r="A967" s="2" t="s">
        <v>14</v>
      </c>
      <c r="B967" s="2" t="s">
        <v>15</v>
      </c>
      <c r="C967" s="2" t="s">
        <v>16</v>
      </c>
      <c r="D967" s="2" t="str">
        <f>("078883")</f>
        <v>078883</v>
      </c>
      <c r="E967" s="2" t="str">
        <f>("622454788831")</f>
        <v>622454788831</v>
      </c>
      <c r="G967" s="2" t="s">
        <v>1057</v>
      </c>
      <c r="H967" s="5">
        <v>1059.9100000000001</v>
      </c>
      <c r="I967" s="2" t="s">
        <v>18</v>
      </c>
      <c r="J967" s="3">
        <v>43013</v>
      </c>
      <c r="K967" s="2">
        <v>0.28599999999999998</v>
      </c>
      <c r="L967" s="2">
        <v>0.63100000000000001</v>
      </c>
      <c r="M967" s="2">
        <v>24</v>
      </c>
      <c r="N967" s="2" t="s">
        <v>1058</v>
      </c>
    </row>
    <row r="968" spans="1:14" x14ac:dyDescent="0.3">
      <c r="A968" s="2" t="s">
        <v>14</v>
      </c>
      <c r="B968" s="2" t="s">
        <v>15</v>
      </c>
      <c r="C968" s="2" t="s">
        <v>16</v>
      </c>
      <c r="D968" s="2" t="str">
        <f>("078884")</f>
        <v>078884</v>
      </c>
      <c r="E968" s="2" t="str">
        <f>("622454788848")</f>
        <v>622454788848</v>
      </c>
      <c r="G968" s="2" t="s">
        <v>1059</v>
      </c>
      <c r="H968" s="5">
        <v>1818.18</v>
      </c>
      <c r="I968" s="2" t="s">
        <v>18</v>
      </c>
      <c r="J968" s="3">
        <v>43013</v>
      </c>
      <c r="K968" s="2">
        <v>0.56799999999999995</v>
      </c>
      <c r="L968" s="2">
        <v>1.252</v>
      </c>
      <c r="M968" s="2">
        <v>12</v>
      </c>
      <c r="N968" s="2" t="s">
        <v>1058</v>
      </c>
    </row>
    <row r="969" spans="1:14" x14ac:dyDescent="0.3">
      <c r="A969" s="2" t="s">
        <v>14</v>
      </c>
      <c r="B969" s="2" t="s">
        <v>15</v>
      </c>
      <c r="C969" s="2" t="s">
        <v>16</v>
      </c>
      <c r="D969" s="2" t="str">
        <f>("078885")</f>
        <v>078885</v>
      </c>
      <c r="E969" s="2" t="str">
        <f>("622454788855")</f>
        <v>622454788855</v>
      </c>
      <c r="G969" s="2" t="s">
        <v>1060</v>
      </c>
      <c r="H969" s="5">
        <v>3025.7</v>
      </c>
      <c r="I969" s="2" t="s">
        <v>18</v>
      </c>
      <c r="J969" s="3">
        <v>43013</v>
      </c>
      <c r="K969" s="2">
        <v>0.94499999999999995</v>
      </c>
      <c r="L969" s="2">
        <v>2.0830000000000002</v>
      </c>
      <c r="M969" s="2">
        <v>12</v>
      </c>
      <c r="N969" s="2" t="s">
        <v>1058</v>
      </c>
    </row>
    <row r="970" spans="1:14" x14ac:dyDescent="0.3">
      <c r="A970" s="2" t="s">
        <v>14</v>
      </c>
      <c r="B970" s="2" t="s">
        <v>15</v>
      </c>
      <c r="C970" s="2" t="s">
        <v>16</v>
      </c>
      <c r="D970" s="2" t="str">
        <f>("078887")</f>
        <v>078887</v>
      </c>
      <c r="E970" s="2" t="str">
        <f>("622454788879")</f>
        <v>622454788879</v>
      </c>
      <c r="G970" s="2" t="s">
        <v>1061</v>
      </c>
      <c r="H970" s="5">
        <v>9951.74</v>
      </c>
      <c r="I970" s="2" t="s">
        <v>18</v>
      </c>
      <c r="J970" s="3">
        <v>43013</v>
      </c>
      <c r="K970" s="2">
        <v>3.786</v>
      </c>
      <c r="L970" s="2">
        <v>8.3469999999999995</v>
      </c>
      <c r="M970" s="2">
        <v>6</v>
      </c>
      <c r="N970" s="2" t="s">
        <v>1058</v>
      </c>
    </row>
    <row r="971" spans="1:14" x14ac:dyDescent="0.3">
      <c r="A971" s="2" t="s">
        <v>14</v>
      </c>
      <c r="B971" s="2" t="s">
        <v>15</v>
      </c>
      <c r="C971" s="2" t="s">
        <v>16</v>
      </c>
      <c r="D971" s="2" t="str">
        <f>("078083")</f>
        <v>078083</v>
      </c>
      <c r="E971" s="2" t="str">
        <f>("622454780835")</f>
        <v>622454780835</v>
      </c>
      <c r="G971" s="2" t="s">
        <v>1062</v>
      </c>
      <c r="H971" s="5">
        <v>2025.35</v>
      </c>
      <c r="I971" s="2" t="s">
        <v>18</v>
      </c>
      <c r="J971" s="3">
        <v>43013</v>
      </c>
      <c r="K971" s="2">
        <v>0.56799999999999995</v>
      </c>
      <c r="L971" s="2">
        <v>1.252</v>
      </c>
      <c r="M971" s="2">
        <v>12</v>
      </c>
      <c r="N971" s="2" t="s">
        <v>1058</v>
      </c>
    </row>
    <row r="972" spans="1:14" x14ac:dyDescent="0.3">
      <c r="A972" s="2" t="s">
        <v>14</v>
      </c>
      <c r="B972" s="2" t="s">
        <v>15</v>
      </c>
      <c r="C972" s="2" t="s">
        <v>16</v>
      </c>
      <c r="D972" s="2" t="str">
        <f>("078096")</f>
        <v>078096</v>
      </c>
      <c r="E972" s="2" t="str">
        <f>("622454780965")</f>
        <v>622454780965</v>
      </c>
      <c r="G972" s="2" t="s">
        <v>1063</v>
      </c>
      <c r="H972" s="5">
        <v>3386.98</v>
      </c>
      <c r="I972" s="2" t="s">
        <v>18</v>
      </c>
      <c r="J972" s="3">
        <v>43013</v>
      </c>
      <c r="K972" s="2">
        <v>0.94499999999999995</v>
      </c>
      <c r="L972" s="2">
        <v>2.0830000000000002</v>
      </c>
      <c r="M972" s="2">
        <v>12</v>
      </c>
      <c r="N972" s="2" t="s">
        <v>1058</v>
      </c>
    </row>
    <row r="973" spans="1:14" x14ac:dyDescent="0.3">
      <c r="A973" s="2" t="s">
        <v>14</v>
      </c>
      <c r="B973" s="2" t="s">
        <v>15</v>
      </c>
      <c r="C973" s="2" t="s">
        <v>16</v>
      </c>
      <c r="D973" s="2" t="str">
        <f>("078503")</f>
        <v>078503</v>
      </c>
      <c r="E973" s="2" t="str">
        <f>("622454785038")</f>
        <v>622454785038</v>
      </c>
      <c r="G973" s="2" t="s">
        <v>1064</v>
      </c>
      <c r="H973" s="5">
        <v>2676.74</v>
      </c>
      <c r="I973" s="2" t="s">
        <v>18</v>
      </c>
      <c r="J973" s="3">
        <v>43013</v>
      </c>
      <c r="K973" s="2">
        <v>0.56799999999999995</v>
      </c>
      <c r="L973" s="2">
        <v>1.252</v>
      </c>
      <c r="M973" s="2">
        <v>12</v>
      </c>
      <c r="N973" s="2" t="s">
        <v>1058</v>
      </c>
    </row>
    <row r="974" spans="1:14" x14ac:dyDescent="0.3">
      <c r="A974" s="2" t="s">
        <v>14</v>
      </c>
      <c r="B974" s="2" t="s">
        <v>15</v>
      </c>
      <c r="C974" s="2" t="s">
        <v>16</v>
      </c>
      <c r="D974" s="2" t="str">
        <f>("078886")</f>
        <v>078886</v>
      </c>
      <c r="E974" s="2" t="str">
        <f>("622454788862")</f>
        <v>622454788862</v>
      </c>
      <c r="G974" s="2" t="s">
        <v>1065</v>
      </c>
      <c r="H974" s="5">
        <v>4279.18</v>
      </c>
      <c r="I974" s="2" t="s">
        <v>18</v>
      </c>
      <c r="J974" s="3">
        <v>43013</v>
      </c>
      <c r="K974" s="2">
        <v>0.94499999999999995</v>
      </c>
      <c r="L974" s="2">
        <v>2.0830000000000002</v>
      </c>
      <c r="M974" s="2">
        <v>12</v>
      </c>
      <c r="N974" s="2" t="s">
        <v>1058</v>
      </c>
    </row>
    <row r="975" spans="1:14" x14ac:dyDescent="0.3">
      <c r="A975" s="2" t="s">
        <v>14</v>
      </c>
      <c r="B975" s="2" t="s">
        <v>15</v>
      </c>
      <c r="C975" s="2" t="s">
        <v>16</v>
      </c>
      <c r="D975" s="2" t="str">
        <f>("078174")</f>
        <v>078174</v>
      </c>
      <c r="E975" s="2" t="str">
        <f>("622454781740")</f>
        <v>622454781740</v>
      </c>
      <c r="G975" s="2" t="s">
        <v>1066</v>
      </c>
      <c r="H975" s="5">
        <v>3346.81</v>
      </c>
      <c r="I975" s="2" t="s">
        <v>18</v>
      </c>
      <c r="J975" s="3">
        <v>43013</v>
      </c>
      <c r="K975" s="2">
        <v>0.56799999999999995</v>
      </c>
      <c r="L975" s="2">
        <v>1.252</v>
      </c>
      <c r="M975" s="2">
        <v>12</v>
      </c>
      <c r="N975" s="2" t="s">
        <v>1067</v>
      </c>
    </row>
    <row r="976" spans="1:14" x14ac:dyDescent="0.3">
      <c r="A976" s="2" t="s">
        <v>14</v>
      </c>
      <c r="B976" s="2" t="s">
        <v>15</v>
      </c>
      <c r="C976" s="2" t="s">
        <v>16</v>
      </c>
      <c r="D976" s="2" t="str">
        <f>("078175")</f>
        <v>078175</v>
      </c>
      <c r="E976" s="2" t="str">
        <f>("622454781757")</f>
        <v>622454781757</v>
      </c>
      <c r="G976" s="2" t="s">
        <v>1068</v>
      </c>
      <c r="H976" s="5">
        <v>5788.93</v>
      </c>
      <c r="I976" s="2" t="s">
        <v>18</v>
      </c>
      <c r="J976" s="3">
        <v>43013</v>
      </c>
      <c r="K976" s="2">
        <v>0.94499999999999995</v>
      </c>
      <c r="L976" s="2">
        <v>2.0830000000000002</v>
      </c>
      <c r="M976" s="2">
        <v>12</v>
      </c>
      <c r="N976" s="2" t="s">
        <v>1067</v>
      </c>
    </row>
    <row r="977" spans="1:14" x14ac:dyDescent="0.3">
      <c r="A977" s="2" t="s">
        <v>14</v>
      </c>
      <c r="B977" s="2" t="s">
        <v>15</v>
      </c>
      <c r="C977" s="2" t="s">
        <v>16</v>
      </c>
      <c r="D977" s="2" t="str">
        <f>("078054")</f>
        <v>078054</v>
      </c>
      <c r="E977" s="2" t="str">
        <f>("622454780545")</f>
        <v>622454780545</v>
      </c>
      <c r="G977" s="2" t="s">
        <v>1069</v>
      </c>
      <c r="H977" s="5">
        <v>5783.79</v>
      </c>
      <c r="I977" s="2" t="s">
        <v>18</v>
      </c>
      <c r="J977" s="3">
        <v>43013</v>
      </c>
      <c r="K977" s="2">
        <v>0.94499999999999995</v>
      </c>
      <c r="L977" s="2">
        <v>2.0830000000000002</v>
      </c>
      <c r="M977" s="2">
        <v>12</v>
      </c>
      <c r="N977" s="2" t="s">
        <v>1067</v>
      </c>
    </row>
    <row r="978" spans="1:14" x14ac:dyDescent="0.3">
      <c r="A978" s="2" t="s">
        <v>14</v>
      </c>
      <c r="B978" s="2" t="s">
        <v>15</v>
      </c>
      <c r="C978" s="2" t="s">
        <v>16</v>
      </c>
      <c r="D978" s="2" t="str">
        <f>("078893")</f>
        <v>078893</v>
      </c>
      <c r="E978" s="2" t="str">
        <f>("622454788930")</f>
        <v>622454788930</v>
      </c>
      <c r="G978" s="2" t="s">
        <v>1070</v>
      </c>
      <c r="H978" s="5">
        <v>70282.759999999995</v>
      </c>
      <c r="I978" s="2" t="s">
        <v>18</v>
      </c>
      <c r="J978" s="3">
        <v>43013</v>
      </c>
      <c r="K978" s="2">
        <v>4.4000000000000004</v>
      </c>
      <c r="L978" s="2">
        <v>9.6999999999999993</v>
      </c>
      <c r="M978" s="2">
        <v>1</v>
      </c>
      <c r="N978" s="2" t="s">
        <v>1071</v>
      </c>
    </row>
    <row r="979" spans="1:14" x14ac:dyDescent="0.3">
      <c r="A979" s="2" t="s">
        <v>14</v>
      </c>
      <c r="B979" s="2" t="s">
        <v>15</v>
      </c>
      <c r="C979" s="2" t="s">
        <v>16</v>
      </c>
      <c r="D979" s="2" t="str">
        <f>("078894")</f>
        <v>078894</v>
      </c>
      <c r="E979" s="2" t="str">
        <f>("622454788947")</f>
        <v>622454788947</v>
      </c>
      <c r="G979" s="2" t="s">
        <v>1072</v>
      </c>
      <c r="H979" s="5">
        <v>78091.95</v>
      </c>
      <c r="I979" s="2" t="s">
        <v>18</v>
      </c>
      <c r="J979" s="3">
        <v>43013</v>
      </c>
      <c r="K979" s="2">
        <v>4.9000000000000004</v>
      </c>
      <c r="L979" s="2">
        <v>10.803000000000001</v>
      </c>
      <c r="M979" s="2">
        <v>1</v>
      </c>
      <c r="N979" s="2" t="s">
        <v>1071</v>
      </c>
    </row>
    <row r="980" spans="1:14" x14ac:dyDescent="0.3">
      <c r="A980" s="2" t="s">
        <v>14</v>
      </c>
      <c r="B980" s="2" t="s">
        <v>15</v>
      </c>
      <c r="C980" s="2" t="s">
        <v>16</v>
      </c>
      <c r="D980" s="2" t="str">
        <f>("078953")</f>
        <v>078953</v>
      </c>
      <c r="E980" s="2" t="str">
        <f>("622454789531")</f>
        <v>622454789531</v>
      </c>
      <c r="G980" s="2" t="s">
        <v>1073</v>
      </c>
      <c r="H980" s="5">
        <v>84599.62</v>
      </c>
      <c r="I980" s="2" t="s">
        <v>18</v>
      </c>
      <c r="J980" s="3">
        <v>43013</v>
      </c>
      <c r="K980" s="2">
        <v>8.9</v>
      </c>
      <c r="L980" s="2">
        <v>19.620999999999999</v>
      </c>
      <c r="M980" s="2">
        <v>1</v>
      </c>
      <c r="N980" s="2" t="s">
        <v>1071</v>
      </c>
    </row>
    <row r="981" spans="1:14" x14ac:dyDescent="0.3">
      <c r="A981" s="2" t="s">
        <v>14</v>
      </c>
      <c r="B981" s="2" t="s">
        <v>15</v>
      </c>
      <c r="C981" s="2" t="s">
        <v>16</v>
      </c>
      <c r="D981" s="2" t="str">
        <f>("078274")</f>
        <v>078274</v>
      </c>
      <c r="E981" s="2" t="str">
        <f>("622454782747")</f>
        <v>622454782747</v>
      </c>
      <c r="G981" s="2" t="s">
        <v>1074</v>
      </c>
      <c r="H981" s="5">
        <v>83298.080000000002</v>
      </c>
      <c r="I981" s="2" t="s">
        <v>18</v>
      </c>
      <c r="J981" s="3">
        <v>43013</v>
      </c>
      <c r="K981" s="2">
        <v>6.9</v>
      </c>
      <c r="L981" s="2">
        <v>15.212</v>
      </c>
      <c r="M981" s="2">
        <v>1</v>
      </c>
      <c r="N981" s="2" t="s">
        <v>1071</v>
      </c>
    </row>
    <row r="982" spans="1:14" x14ac:dyDescent="0.3">
      <c r="A982" s="2" t="s">
        <v>14</v>
      </c>
      <c r="B982" s="2" t="s">
        <v>15</v>
      </c>
      <c r="C982" s="2" t="s">
        <v>16</v>
      </c>
      <c r="D982" s="2" t="str">
        <f>("078254")</f>
        <v>078254</v>
      </c>
      <c r="E982" s="2" t="str">
        <f>("622454782549")</f>
        <v>622454782549</v>
      </c>
      <c r="G982" s="2" t="s">
        <v>1075</v>
      </c>
      <c r="H982" s="5">
        <v>93710.34</v>
      </c>
      <c r="I982" s="2" t="s">
        <v>18</v>
      </c>
      <c r="J982" s="3">
        <v>43013</v>
      </c>
      <c r="K982" s="2">
        <v>5.25</v>
      </c>
      <c r="L982" s="2">
        <v>11.574</v>
      </c>
      <c r="M982" s="2">
        <v>1</v>
      </c>
      <c r="N982" s="2" t="s">
        <v>1071</v>
      </c>
    </row>
    <row r="983" spans="1:14" x14ac:dyDescent="0.3">
      <c r="A983" s="2" t="s">
        <v>14</v>
      </c>
      <c r="B983" s="2" t="s">
        <v>15</v>
      </c>
      <c r="C983" s="2" t="s">
        <v>16</v>
      </c>
      <c r="D983" s="2" t="str">
        <f>("078950")</f>
        <v>078950</v>
      </c>
      <c r="E983" s="2" t="str">
        <f>("622454789500")</f>
        <v>622454789500</v>
      </c>
      <c r="G983" s="2" t="s">
        <v>1076</v>
      </c>
      <c r="H983" s="5">
        <v>98916.47</v>
      </c>
      <c r="I983" s="2" t="s">
        <v>18</v>
      </c>
      <c r="J983" s="3">
        <v>43013</v>
      </c>
      <c r="K983" s="2">
        <v>6.9</v>
      </c>
      <c r="L983" s="2">
        <v>15.212</v>
      </c>
      <c r="M983" s="2">
        <v>1</v>
      </c>
      <c r="N983" s="2" t="s">
        <v>1071</v>
      </c>
    </row>
    <row r="984" spans="1:14" x14ac:dyDescent="0.3">
      <c r="A984" s="2" t="s">
        <v>14</v>
      </c>
      <c r="B984" s="2" t="s">
        <v>15</v>
      </c>
      <c r="C984" s="2" t="s">
        <v>16</v>
      </c>
      <c r="D984" s="2" t="str">
        <f>("078895")</f>
        <v>078895</v>
      </c>
      <c r="E984" s="2" t="str">
        <f>("622454788954")</f>
        <v>622454788954</v>
      </c>
      <c r="G984" s="2" t="s">
        <v>1077</v>
      </c>
      <c r="H984" s="5">
        <v>101519.54</v>
      </c>
      <c r="I984" s="2" t="s">
        <v>18</v>
      </c>
      <c r="J984" s="3">
        <v>43013</v>
      </c>
      <c r="K984" s="2">
        <v>9.5</v>
      </c>
      <c r="L984" s="2">
        <v>20.943999999999999</v>
      </c>
      <c r="M984" s="2">
        <v>1</v>
      </c>
      <c r="N984" s="2" t="s">
        <v>1071</v>
      </c>
    </row>
    <row r="985" spans="1:14" x14ac:dyDescent="0.3">
      <c r="A985" s="2" t="s">
        <v>14</v>
      </c>
      <c r="B985" s="2" t="s">
        <v>15</v>
      </c>
      <c r="C985" s="2" t="s">
        <v>16</v>
      </c>
      <c r="D985" s="2" t="str">
        <f>("078951")</f>
        <v>078951</v>
      </c>
      <c r="E985" s="2" t="str">
        <f>("622454789517")</f>
        <v>622454789517</v>
      </c>
      <c r="G985" s="2" t="s">
        <v>1078</v>
      </c>
      <c r="H985" s="5">
        <v>105424.14</v>
      </c>
      <c r="I985" s="2" t="s">
        <v>18</v>
      </c>
      <c r="J985" s="3">
        <v>43013</v>
      </c>
      <c r="K985" s="2">
        <v>8.9</v>
      </c>
      <c r="L985" s="2">
        <v>19.620999999999999</v>
      </c>
      <c r="M985" s="2">
        <v>1</v>
      </c>
      <c r="N985" s="2" t="s">
        <v>1071</v>
      </c>
    </row>
    <row r="986" spans="1:14" x14ac:dyDescent="0.3">
      <c r="A986" s="2" t="s">
        <v>14</v>
      </c>
      <c r="B986" s="2" t="s">
        <v>15</v>
      </c>
      <c r="C986" s="2" t="s">
        <v>16</v>
      </c>
      <c r="D986" s="2" t="str">
        <f>("078863")</f>
        <v>078863</v>
      </c>
      <c r="E986" s="2" t="str">
        <f>("622454788633")</f>
        <v>622454788633</v>
      </c>
      <c r="G986" s="2" t="s">
        <v>1079</v>
      </c>
      <c r="H986" s="5">
        <v>113233.33</v>
      </c>
      <c r="I986" s="2" t="s">
        <v>18</v>
      </c>
      <c r="J986" s="3">
        <v>43013</v>
      </c>
      <c r="K986" s="2">
        <v>16.36</v>
      </c>
      <c r="L986" s="2">
        <v>36.067999999999998</v>
      </c>
      <c r="M986" s="2">
        <v>1</v>
      </c>
      <c r="N986" s="2" t="s">
        <v>1071</v>
      </c>
    </row>
    <row r="987" spans="1:14" x14ac:dyDescent="0.3">
      <c r="A987" s="2" t="s">
        <v>14</v>
      </c>
      <c r="B987" s="2" t="s">
        <v>15</v>
      </c>
      <c r="C987" s="2" t="s">
        <v>16</v>
      </c>
      <c r="D987" s="2" t="str">
        <f>("078253")</f>
        <v>078253</v>
      </c>
      <c r="E987" s="2" t="str">
        <f>("622454782532")</f>
        <v>622454782532</v>
      </c>
      <c r="G987" s="2" t="s">
        <v>1080</v>
      </c>
      <c r="H987" s="5">
        <v>91107.28</v>
      </c>
      <c r="I987" s="2" t="s">
        <v>18</v>
      </c>
      <c r="J987" s="3">
        <v>43013</v>
      </c>
      <c r="K987" s="2">
        <v>5.56</v>
      </c>
      <c r="L987" s="2">
        <v>12.257999999999999</v>
      </c>
      <c r="M987" s="2">
        <v>1</v>
      </c>
      <c r="N987" s="2" t="s">
        <v>1071</v>
      </c>
    </row>
    <row r="988" spans="1:14" x14ac:dyDescent="0.3">
      <c r="A988" s="2" t="s">
        <v>14</v>
      </c>
      <c r="B988" s="2" t="s">
        <v>15</v>
      </c>
      <c r="C988" s="2" t="s">
        <v>16</v>
      </c>
      <c r="D988" s="2" t="str">
        <f>("078968")</f>
        <v>078968</v>
      </c>
      <c r="E988" s="2" t="str">
        <f>("622454789685")</f>
        <v>622454789685</v>
      </c>
      <c r="G988" s="2" t="s">
        <v>1081</v>
      </c>
      <c r="H988" s="5">
        <v>96313.41</v>
      </c>
      <c r="I988" s="2" t="s">
        <v>18</v>
      </c>
      <c r="J988" s="3">
        <v>43013</v>
      </c>
      <c r="K988" s="2">
        <v>6.7</v>
      </c>
      <c r="L988" s="2">
        <v>14.771000000000001</v>
      </c>
      <c r="M988" s="2">
        <v>1</v>
      </c>
      <c r="N988" s="2" t="s">
        <v>1071</v>
      </c>
    </row>
    <row r="989" spans="1:14" x14ac:dyDescent="0.3">
      <c r="A989" s="2" t="s">
        <v>14</v>
      </c>
      <c r="B989" s="2" t="s">
        <v>15</v>
      </c>
      <c r="C989" s="2" t="s">
        <v>16</v>
      </c>
      <c r="D989" s="2" t="str">
        <f>("078217")</f>
        <v>078217</v>
      </c>
      <c r="E989" s="2" t="str">
        <f>("622454782174")</f>
        <v>622454782174</v>
      </c>
      <c r="G989" s="2" t="s">
        <v>1082</v>
      </c>
      <c r="H989" s="5">
        <v>104122.6</v>
      </c>
      <c r="I989" s="2" t="s">
        <v>18</v>
      </c>
      <c r="J989" s="3">
        <v>43013</v>
      </c>
      <c r="K989" s="2">
        <v>1E-3</v>
      </c>
      <c r="L989" s="2">
        <v>2E-3</v>
      </c>
      <c r="M989" s="2">
        <v>1</v>
      </c>
      <c r="N989" s="2" t="s">
        <v>1071</v>
      </c>
    </row>
    <row r="990" spans="1:14" x14ac:dyDescent="0.3">
      <c r="A990" s="2" t="s">
        <v>14</v>
      </c>
      <c r="B990" s="2" t="s">
        <v>15</v>
      </c>
      <c r="C990" s="2" t="s">
        <v>16</v>
      </c>
      <c r="D990" s="2" t="str">
        <f>("078962")</f>
        <v>078962</v>
      </c>
      <c r="E990" s="2" t="str">
        <f>("622454789623")</f>
        <v>622454789623</v>
      </c>
      <c r="G990" s="2" t="s">
        <v>1083</v>
      </c>
      <c r="H990" s="5">
        <v>108027.2</v>
      </c>
      <c r="I990" s="2" t="s">
        <v>18</v>
      </c>
      <c r="J990" s="3">
        <v>43013</v>
      </c>
      <c r="K990" s="2">
        <v>6.35</v>
      </c>
      <c r="L990" s="2">
        <v>13.999000000000001</v>
      </c>
      <c r="M990" s="2">
        <v>1</v>
      </c>
      <c r="N990" s="2" t="s">
        <v>1071</v>
      </c>
    </row>
    <row r="991" spans="1:14" x14ac:dyDescent="0.3">
      <c r="A991" s="2" t="s">
        <v>14</v>
      </c>
      <c r="B991" s="2" t="s">
        <v>15</v>
      </c>
      <c r="C991" s="2" t="s">
        <v>16</v>
      </c>
      <c r="D991" s="2" t="str">
        <f>("078949")</f>
        <v>078949</v>
      </c>
      <c r="E991" s="2" t="str">
        <f>("622454789494")</f>
        <v>622454789494</v>
      </c>
      <c r="G991" s="2" t="s">
        <v>1084</v>
      </c>
      <c r="H991" s="5">
        <v>111931.8</v>
      </c>
      <c r="I991" s="2" t="s">
        <v>18</v>
      </c>
      <c r="J991" s="3">
        <v>43013</v>
      </c>
      <c r="K991" s="2">
        <v>1.36</v>
      </c>
      <c r="L991" s="2">
        <v>2.9980000000000002</v>
      </c>
      <c r="M991" s="2">
        <v>1</v>
      </c>
      <c r="N991" s="2" t="s">
        <v>1071</v>
      </c>
    </row>
    <row r="992" spans="1:14" x14ac:dyDescent="0.3">
      <c r="A992" s="2" t="s">
        <v>14</v>
      </c>
      <c r="B992" s="2" t="s">
        <v>15</v>
      </c>
      <c r="C992" s="2" t="s">
        <v>16</v>
      </c>
      <c r="D992" s="2" t="str">
        <f>("078957")</f>
        <v>078957</v>
      </c>
      <c r="E992" s="2" t="str">
        <f>("622454789579")</f>
        <v>622454789579</v>
      </c>
      <c r="G992" s="2" t="s">
        <v>1085</v>
      </c>
      <c r="H992" s="5">
        <v>115836.4</v>
      </c>
      <c r="I992" s="2" t="s">
        <v>18</v>
      </c>
      <c r="J992" s="3">
        <v>43013</v>
      </c>
      <c r="K992" s="2">
        <v>8</v>
      </c>
      <c r="L992" s="2">
        <v>17.637</v>
      </c>
      <c r="M992" s="2">
        <v>1</v>
      </c>
      <c r="N992" s="2" t="s">
        <v>1071</v>
      </c>
    </row>
    <row r="993" spans="1:14" x14ac:dyDescent="0.3">
      <c r="A993" s="2" t="s">
        <v>14</v>
      </c>
      <c r="B993" s="2" t="s">
        <v>15</v>
      </c>
      <c r="C993" s="2" t="s">
        <v>16</v>
      </c>
      <c r="D993" s="2" t="str">
        <f>("078955")</f>
        <v>078955</v>
      </c>
      <c r="E993" s="2" t="str">
        <f>("622454789555")</f>
        <v>622454789555</v>
      </c>
      <c r="G993" s="2" t="s">
        <v>1086</v>
      </c>
      <c r="H993" s="5">
        <v>119741</v>
      </c>
      <c r="I993" s="2" t="s">
        <v>18</v>
      </c>
      <c r="J993" s="3">
        <v>43013</v>
      </c>
      <c r="K993" s="2">
        <v>8.8000000000000007</v>
      </c>
      <c r="L993" s="2">
        <v>19.401</v>
      </c>
      <c r="M993" s="2">
        <v>1</v>
      </c>
      <c r="N993" s="2" t="s">
        <v>1071</v>
      </c>
    </row>
    <row r="994" spans="1:14" x14ac:dyDescent="0.3">
      <c r="A994" s="2" t="s">
        <v>14</v>
      </c>
      <c r="B994" s="2" t="s">
        <v>15</v>
      </c>
      <c r="C994" s="2" t="s">
        <v>16</v>
      </c>
      <c r="D994" s="2" t="str">
        <f>("078416")</f>
        <v>078416</v>
      </c>
      <c r="E994" s="2" t="str">
        <f>("622454784161")</f>
        <v>622454784161</v>
      </c>
      <c r="G994" s="2" t="s">
        <v>1087</v>
      </c>
      <c r="H994" s="5">
        <v>124947.13</v>
      </c>
      <c r="I994" s="2" t="s">
        <v>18</v>
      </c>
      <c r="J994" s="3">
        <v>43013</v>
      </c>
      <c r="K994" s="2">
        <v>12.72</v>
      </c>
      <c r="L994" s="2">
        <v>28.042999999999999</v>
      </c>
      <c r="M994" s="2">
        <v>1</v>
      </c>
      <c r="N994" s="2" t="s">
        <v>1071</v>
      </c>
    </row>
    <row r="995" spans="1:14" x14ac:dyDescent="0.3">
      <c r="A995" s="2" t="s">
        <v>14</v>
      </c>
      <c r="B995" s="2" t="s">
        <v>15</v>
      </c>
      <c r="C995" s="2" t="s">
        <v>16</v>
      </c>
      <c r="D995" s="2" t="str">
        <f>("078961")</f>
        <v>078961</v>
      </c>
      <c r="E995" s="2" t="str">
        <f>("622454789616")</f>
        <v>622454789616</v>
      </c>
      <c r="G995" s="2" t="s">
        <v>1088</v>
      </c>
      <c r="H995" s="5">
        <v>128851.72</v>
      </c>
      <c r="I995" s="2" t="s">
        <v>18</v>
      </c>
      <c r="J995" s="3">
        <v>43013</v>
      </c>
      <c r="K995" s="2">
        <v>10.5</v>
      </c>
      <c r="L995" s="2">
        <v>23.149000000000001</v>
      </c>
      <c r="M995" s="2">
        <v>1</v>
      </c>
      <c r="N995" s="2" t="s">
        <v>1071</v>
      </c>
    </row>
    <row r="996" spans="1:14" x14ac:dyDescent="0.3">
      <c r="A996" s="2" t="s">
        <v>14</v>
      </c>
      <c r="B996" s="2" t="s">
        <v>15</v>
      </c>
      <c r="C996" s="2" t="s">
        <v>16</v>
      </c>
      <c r="D996" s="2" t="str">
        <f>("078802")</f>
        <v>078802</v>
      </c>
      <c r="E996" s="2" t="str">
        <f>("622454788022")</f>
        <v>622454788022</v>
      </c>
      <c r="G996" s="2" t="s">
        <v>1089</v>
      </c>
      <c r="H996" s="5">
        <v>143168.57999999999</v>
      </c>
      <c r="I996" s="2" t="s">
        <v>18</v>
      </c>
      <c r="J996" s="3">
        <v>43013</v>
      </c>
      <c r="K996" s="2">
        <v>8.18</v>
      </c>
      <c r="L996" s="2">
        <v>18.033999999999999</v>
      </c>
      <c r="M996" s="2">
        <v>1</v>
      </c>
      <c r="N996" s="2" t="s">
        <v>1071</v>
      </c>
    </row>
    <row r="997" spans="1:14" x14ac:dyDescent="0.3">
      <c r="A997" s="2" t="s">
        <v>14</v>
      </c>
      <c r="B997" s="2" t="s">
        <v>15</v>
      </c>
      <c r="C997" s="2" t="s">
        <v>16</v>
      </c>
      <c r="D997" s="2" t="str">
        <f>("078956")</f>
        <v>078956</v>
      </c>
      <c r="E997" s="2" t="str">
        <f>("622454789562")</f>
        <v>622454789562</v>
      </c>
      <c r="G997" s="2" t="s">
        <v>1090</v>
      </c>
      <c r="H997" s="5">
        <v>135359.39000000001</v>
      </c>
      <c r="I997" s="2" t="s">
        <v>18</v>
      </c>
      <c r="J997" s="3">
        <v>43013</v>
      </c>
      <c r="K997" s="2">
        <v>10.9</v>
      </c>
      <c r="L997" s="2">
        <v>24.03</v>
      </c>
      <c r="M997" s="2">
        <v>1</v>
      </c>
      <c r="N997" s="2" t="s">
        <v>1071</v>
      </c>
    </row>
    <row r="998" spans="1:14" x14ac:dyDescent="0.3">
      <c r="A998" s="2" t="s">
        <v>14</v>
      </c>
      <c r="B998" s="2" t="s">
        <v>15</v>
      </c>
      <c r="C998" s="2" t="s">
        <v>16</v>
      </c>
      <c r="D998" s="2" t="str">
        <f>("078926")</f>
        <v>078926</v>
      </c>
      <c r="E998" s="2" t="str">
        <f>("622454789265")</f>
        <v>622454789265</v>
      </c>
      <c r="G998" s="2" t="s">
        <v>1091</v>
      </c>
      <c r="H998" s="5">
        <v>145771.65</v>
      </c>
      <c r="I998" s="2" t="s">
        <v>18</v>
      </c>
      <c r="J998" s="3">
        <v>43013</v>
      </c>
      <c r="K998" s="2">
        <v>6.82</v>
      </c>
      <c r="L998" s="2">
        <v>15.036</v>
      </c>
      <c r="M998" s="2">
        <v>1</v>
      </c>
      <c r="N998" s="2" t="s">
        <v>1071</v>
      </c>
    </row>
    <row r="999" spans="1:14" x14ac:dyDescent="0.3">
      <c r="A999" s="2" t="s">
        <v>14</v>
      </c>
      <c r="B999" s="2" t="s">
        <v>15</v>
      </c>
      <c r="C999" s="2" t="s">
        <v>16</v>
      </c>
      <c r="D999" s="2" t="str">
        <f>("078971")</f>
        <v>078971</v>
      </c>
      <c r="E999" s="2" t="str">
        <f>("622454789715")</f>
        <v>622454789715</v>
      </c>
      <c r="G999" s="2" t="s">
        <v>1092</v>
      </c>
      <c r="H999" s="5">
        <v>145771.65</v>
      </c>
      <c r="I999" s="2" t="s">
        <v>18</v>
      </c>
      <c r="J999" s="3">
        <v>43013</v>
      </c>
      <c r="K999" s="2">
        <v>12.3</v>
      </c>
      <c r="L999" s="2">
        <v>27.117000000000001</v>
      </c>
      <c r="M999" s="2">
        <v>1</v>
      </c>
      <c r="N999" s="2" t="s">
        <v>1071</v>
      </c>
    </row>
    <row r="1000" spans="1:14" x14ac:dyDescent="0.3">
      <c r="A1000" s="2" t="s">
        <v>14</v>
      </c>
      <c r="B1000" s="2" t="s">
        <v>15</v>
      </c>
      <c r="C1000" s="2" t="s">
        <v>16</v>
      </c>
      <c r="D1000" s="2" t="str">
        <f>("078972")</f>
        <v>078972</v>
      </c>
      <c r="E1000" s="2" t="str">
        <f>("622454789722")</f>
        <v>622454789722</v>
      </c>
      <c r="G1000" s="2" t="s">
        <v>1093</v>
      </c>
      <c r="H1000" s="5">
        <v>149676.24</v>
      </c>
      <c r="I1000" s="2" t="s">
        <v>18</v>
      </c>
      <c r="J1000" s="3">
        <v>43013</v>
      </c>
      <c r="K1000" s="2">
        <v>13.4</v>
      </c>
      <c r="L1000" s="2">
        <v>29.542000000000002</v>
      </c>
      <c r="M1000" s="2">
        <v>1</v>
      </c>
      <c r="N1000" s="2" t="s">
        <v>1071</v>
      </c>
    </row>
    <row r="1001" spans="1:14" x14ac:dyDescent="0.3">
      <c r="A1001" s="2" t="s">
        <v>14</v>
      </c>
      <c r="B1001" s="2" t="s">
        <v>15</v>
      </c>
      <c r="C1001" s="2" t="s">
        <v>16</v>
      </c>
      <c r="D1001" s="2" t="str">
        <f>("078880")</f>
        <v>078880</v>
      </c>
      <c r="E1001" s="2" t="str">
        <f>("622454788800")</f>
        <v>622454788800</v>
      </c>
      <c r="G1001" s="2" t="s">
        <v>1094</v>
      </c>
      <c r="H1001" s="5">
        <v>156183.91</v>
      </c>
      <c r="I1001" s="2" t="s">
        <v>18</v>
      </c>
      <c r="J1001" s="3">
        <v>43013</v>
      </c>
      <c r="K1001" s="2">
        <v>14.5</v>
      </c>
      <c r="L1001" s="2">
        <v>31.966999999999999</v>
      </c>
      <c r="M1001" s="2">
        <v>1</v>
      </c>
      <c r="N1001" s="2" t="s">
        <v>1071</v>
      </c>
    </row>
    <row r="1002" spans="1:14" x14ac:dyDescent="0.3">
      <c r="A1002" s="2" t="s">
        <v>14</v>
      </c>
      <c r="B1002" s="2" t="s">
        <v>15</v>
      </c>
      <c r="C1002" s="2" t="s">
        <v>16</v>
      </c>
      <c r="D1002" s="2" t="str">
        <f>("078896")</f>
        <v>078896</v>
      </c>
      <c r="E1002" s="2" t="str">
        <f>("622454788961")</f>
        <v>622454788961</v>
      </c>
      <c r="G1002" s="2" t="s">
        <v>1095</v>
      </c>
      <c r="H1002" s="5">
        <v>165294.63</v>
      </c>
      <c r="I1002" s="2" t="s">
        <v>18</v>
      </c>
      <c r="J1002" s="3">
        <v>43013</v>
      </c>
      <c r="K1002" s="2">
        <v>15.6</v>
      </c>
      <c r="L1002" s="2">
        <v>34.392000000000003</v>
      </c>
      <c r="M1002" s="2">
        <v>1</v>
      </c>
      <c r="N1002" s="2" t="s">
        <v>1071</v>
      </c>
    </row>
    <row r="1003" spans="1:14" x14ac:dyDescent="0.3">
      <c r="A1003" s="2" t="s">
        <v>14</v>
      </c>
      <c r="B1003" s="2" t="s">
        <v>15</v>
      </c>
      <c r="C1003" s="2" t="s">
        <v>16</v>
      </c>
      <c r="D1003" s="2" t="str">
        <f>("078963")</f>
        <v>078963</v>
      </c>
      <c r="E1003" s="2" t="str">
        <f>("622454789630")</f>
        <v>622454789630</v>
      </c>
      <c r="G1003" s="2" t="s">
        <v>1096</v>
      </c>
      <c r="H1003" s="5">
        <v>234275.86</v>
      </c>
      <c r="I1003" s="2" t="s">
        <v>18</v>
      </c>
      <c r="J1003" s="3">
        <v>43013</v>
      </c>
      <c r="K1003" s="2">
        <v>18.143999999999998</v>
      </c>
      <c r="L1003" s="2">
        <v>40.000999999999998</v>
      </c>
      <c r="M1003" s="2">
        <v>1</v>
      </c>
      <c r="N1003" s="2" t="s">
        <v>1071</v>
      </c>
    </row>
    <row r="1004" spans="1:14" x14ac:dyDescent="0.3">
      <c r="A1004" s="2" t="s">
        <v>14</v>
      </c>
      <c r="B1004" s="2" t="s">
        <v>15</v>
      </c>
      <c r="C1004" s="2" t="s">
        <v>16</v>
      </c>
      <c r="D1004" s="2" t="str">
        <f>("078970")</f>
        <v>078970</v>
      </c>
      <c r="E1004" s="2" t="str">
        <f>("622454789708")</f>
        <v>622454789708</v>
      </c>
      <c r="G1004" s="2" t="s">
        <v>1097</v>
      </c>
      <c r="H1004" s="5">
        <v>231672.79</v>
      </c>
      <c r="I1004" s="2" t="s">
        <v>18</v>
      </c>
      <c r="J1004" s="3">
        <v>43013</v>
      </c>
      <c r="K1004" s="2">
        <v>28.9</v>
      </c>
      <c r="L1004" s="2">
        <v>63.713999999999999</v>
      </c>
      <c r="M1004" s="2">
        <v>1</v>
      </c>
      <c r="N1004" s="2" t="s">
        <v>1071</v>
      </c>
    </row>
    <row r="1005" spans="1:14" x14ac:dyDescent="0.3">
      <c r="A1005" s="2" t="s">
        <v>14</v>
      </c>
      <c r="B1005" s="2" t="s">
        <v>15</v>
      </c>
      <c r="C1005" s="2" t="s">
        <v>16</v>
      </c>
      <c r="D1005" s="2" t="str">
        <f>("178247")</f>
        <v>178247</v>
      </c>
      <c r="E1005" s="2" t="str">
        <f>("622454345591")</f>
        <v>622454345591</v>
      </c>
      <c r="G1005" s="2" t="s">
        <v>1098</v>
      </c>
      <c r="H1005" s="5">
        <v>429505.74</v>
      </c>
      <c r="I1005" s="2" t="s">
        <v>18</v>
      </c>
      <c r="J1005" s="3">
        <v>43013</v>
      </c>
      <c r="K1005" s="2">
        <v>10</v>
      </c>
      <c r="L1005" s="2">
        <v>22.045999999999999</v>
      </c>
      <c r="M1005" s="2">
        <v>1</v>
      </c>
      <c r="N1005" s="2" t="s">
        <v>1071</v>
      </c>
    </row>
    <row r="1006" spans="1:14" x14ac:dyDescent="0.3">
      <c r="A1006" s="2" t="s">
        <v>14</v>
      </c>
      <c r="B1006" s="2" t="s">
        <v>15</v>
      </c>
      <c r="C1006" s="2" t="s">
        <v>16</v>
      </c>
      <c r="D1006" s="2" t="str">
        <f>("078989")</f>
        <v>078989</v>
      </c>
      <c r="E1006" s="2" t="str">
        <f>("622454789890")</f>
        <v>622454789890</v>
      </c>
      <c r="G1006" s="2" t="s">
        <v>1099</v>
      </c>
      <c r="H1006" s="5">
        <v>260306.51</v>
      </c>
      <c r="I1006" s="2" t="s">
        <v>18</v>
      </c>
      <c r="J1006" s="3">
        <v>43013</v>
      </c>
      <c r="K1006" s="2">
        <v>27</v>
      </c>
      <c r="L1006" s="2">
        <v>59.524999999999999</v>
      </c>
      <c r="M1006" s="2">
        <v>1</v>
      </c>
      <c r="N1006" s="2" t="s">
        <v>1071</v>
      </c>
    </row>
    <row r="1007" spans="1:14" x14ac:dyDescent="0.3">
      <c r="A1007" s="2" t="s">
        <v>14</v>
      </c>
      <c r="B1007" s="2" t="s">
        <v>15</v>
      </c>
      <c r="C1007" s="2" t="s">
        <v>16</v>
      </c>
      <c r="D1007" s="2" t="str">
        <f>("078990")</f>
        <v>078990</v>
      </c>
      <c r="E1007" s="2" t="str">
        <f>("622454789906")</f>
        <v>622454789906</v>
      </c>
      <c r="G1007" s="2" t="s">
        <v>1100</v>
      </c>
      <c r="H1007" s="5">
        <v>312367.81</v>
      </c>
      <c r="I1007" s="2" t="s">
        <v>18</v>
      </c>
      <c r="J1007" s="3">
        <v>43013</v>
      </c>
      <c r="K1007" s="2">
        <v>29.5</v>
      </c>
      <c r="L1007" s="2">
        <v>65.036000000000001</v>
      </c>
      <c r="M1007" s="2">
        <v>1</v>
      </c>
      <c r="N1007" s="2" t="s">
        <v>1071</v>
      </c>
    </row>
    <row r="1008" spans="1:14" x14ac:dyDescent="0.3">
      <c r="A1008" s="2" t="s">
        <v>14</v>
      </c>
      <c r="B1008" s="2" t="s">
        <v>15</v>
      </c>
      <c r="C1008" s="2" t="s">
        <v>16</v>
      </c>
      <c r="D1008" s="2" t="str">
        <f>("078018")</f>
        <v>078018</v>
      </c>
      <c r="E1008" s="2" t="str">
        <f>("622454780187")</f>
        <v>622454780187</v>
      </c>
      <c r="G1008" s="2" t="s">
        <v>1101</v>
      </c>
      <c r="H1008" s="5">
        <v>422998.08</v>
      </c>
      <c r="I1008" s="2" t="s">
        <v>18</v>
      </c>
      <c r="J1008" s="3">
        <v>43013</v>
      </c>
      <c r="K1008" s="2">
        <v>32.270000000000003</v>
      </c>
      <c r="L1008" s="2">
        <v>71.143000000000001</v>
      </c>
      <c r="M1008" s="2">
        <v>1</v>
      </c>
      <c r="N1008" s="2" t="s">
        <v>1071</v>
      </c>
    </row>
    <row r="1009" spans="1:14" x14ac:dyDescent="0.3">
      <c r="A1009" s="2" t="s">
        <v>14</v>
      </c>
      <c r="B1009" s="2" t="s">
        <v>15</v>
      </c>
      <c r="C1009" s="2" t="s">
        <v>16</v>
      </c>
      <c r="D1009" s="2" t="str">
        <f>("012031")</f>
        <v>012031</v>
      </c>
      <c r="E1009" s="2" t="str">
        <f>("622454120310")</f>
        <v>622454120310</v>
      </c>
      <c r="G1009" s="2" t="s">
        <v>1102</v>
      </c>
      <c r="H1009" s="5">
        <v>79.27</v>
      </c>
      <c r="I1009" s="2" t="s">
        <v>18</v>
      </c>
      <c r="J1009" s="3">
        <v>43013</v>
      </c>
      <c r="K1009" s="2">
        <v>4.4999999999999998E-2</v>
      </c>
      <c r="L1009" s="2">
        <v>9.9000000000000005E-2</v>
      </c>
      <c r="M1009" s="2">
        <v>20</v>
      </c>
      <c r="N1009" s="2" t="s">
        <v>1103</v>
      </c>
    </row>
    <row r="1010" spans="1:14" x14ac:dyDescent="0.3">
      <c r="A1010" s="2" t="s">
        <v>14</v>
      </c>
      <c r="B1010" s="2" t="s">
        <v>15</v>
      </c>
      <c r="C1010" s="2" t="s">
        <v>16</v>
      </c>
      <c r="D1010" s="2" t="str">
        <f>("012040")</f>
        <v>012040</v>
      </c>
      <c r="E1010" s="2" t="str">
        <f>("622454120402")</f>
        <v>622454120402</v>
      </c>
      <c r="G1010" s="2" t="s">
        <v>1104</v>
      </c>
      <c r="H1010" s="5">
        <v>109.64</v>
      </c>
      <c r="I1010" s="2" t="s">
        <v>18</v>
      </c>
      <c r="J1010" s="3">
        <v>43013</v>
      </c>
      <c r="K1010" s="2">
        <v>5.6000000000000001E-2</v>
      </c>
      <c r="L1010" s="2">
        <v>0.123</v>
      </c>
      <c r="M1010" s="2">
        <v>125</v>
      </c>
      <c r="N1010" s="2" t="s">
        <v>1103</v>
      </c>
    </row>
    <row r="1011" spans="1:14" x14ac:dyDescent="0.3">
      <c r="A1011" s="2" t="s">
        <v>14</v>
      </c>
      <c r="B1011" s="2" t="s">
        <v>15</v>
      </c>
      <c r="C1011" s="2" t="s">
        <v>16</v>
      </c>
      <c r="D1011" s="2" t="str">
        <f>("012041")</f>
        <v>012041</v>
      </c>
      <c r="E1011" s="2" t="str">
        <f>("622454120419")</f>
        <v>622454120419</v>
      </c>
      <c r="G1011" s="2" t="s">
        <v>1105</v>
      </c>
      <c r="H1011" s="5">
        <v>176.02</v>
      </c>
      <c r="I1011" s="2" t="s">
        <v>18</v>
      </c>
      <c r="J1011" s="3">
        <v>43013</v>
      </c>
      <c r="K1011" s="2">
        <v>7.6999999999999999E-2</v>
      </c>
      <c r="L1011" s="2">
        <v>0.17</v>
      </c>
      <c r="M1011" s="2">
        <v>175</v>
      </c>
      <c r="N1011" s="2" t="s">
        <v>1103</v>
      </c>
    </row>
    <row r="1012" spans="1:14" x14ac:dyDescent="0.3">
      <c r="A1012" s="2" t="s">
        <v>14</v>
      </c>
      <c r="B1012" s="2" t="s">
        <v>15</v>
      </c>
      <c r="C1012" s="2" t="s">
        <v>16</v>
      </c>
      <c r="D1012" s="2" t="str">
        <f>("012046")</f>
        <v>012046</v>
      </c>
      <c r="E1012" s="2" t="str">
        <f>("622454120464")</f>
        <v>622454120464</v>
      </c>
      <c r="G1012" s="2" t="s">
        <v>1106</v>
      </c>
      <c r="H1012" s="5">
        <v>241.71</v>
      </c>
      <c r="I1012" s="2" t="s">
        <v>18</v>
      </c>
      <c r="J1012" s="3">
        <v>43013</v>
      </c>
      <c r="K1012" s="2">
        <v>7.4999999999999997E-2</v>
      </c>
      <c r="L1012" s="2">
        <v>0.16500000000000001</v>
      </c>
      <c r="M1012" s="2">
        <v>102</v>
      </c>
      <c r="N1012" s="2" t="s">
        <v>1103</v>
      </c>
    </row>
    <row r="1013" spans="1:14" x14ac:dyDescent="0.3">
      <c r="A1013" s="2" t="s">
        <v>14</v>
      </c>
      <c r="B1013" s="2" t="s">
        <v>15</v>
      </c>
      <c r="C1013" s="2" t="s">
        <v>16</v>
      </c>
      <c r="D1013" s="2" t="str">
        <f>("012032")</f>
        <v>012032</v>
      </c>
      <c r="E1013" s="2" t="str">
        <f>("622454120327")</f>
        <v>622454120327</v>
      </c>
      <c r="G1013" s="2" t="s">
        <v>1107</v>
      </c>
      <c r="H1013" s="5">
        <v>320.05</v>
      </c>
      <c r="I1013" s="2" t="s">
        <v>18</v>
      </c>
      <c r="J1013" s="3">
        <v>43013</v>
      </c>
      <c r="K1013" s="2">
        <v>9.5000000000000001E-2</v>
      </c>
      <c r="L1013" s="2">
        <v>0.20899999999999999</v>
      </c>
      <c r="M1013" s="2">
        <v>81</v>
      </c>
      <c r="N1013" s="2" t="s">
        <v>1103</v>
      </c>
    </row>
    <row r="1014" spans="1:14" x14ac:dyDescent="0.3">
      <c r="A1014" s="2" t="s">
        <v>14</v>
      </c>
      <c r="B1014" s="2" t="s">
        <v>15</v>
      </c>
      <c r="C1014" s="2" t="s">
        <v>16</v>
      </c>
      <c r="D1014" s="2" t="str">
        <f>("012043")</f>
        <v>012043</v>
      </c>
      <c r="E1014" s="2" t="str">
        <f>("622454120433")</f>
        <v>622454120433</v>
      </c>
      <c r="G1014" s="2" t="s">
        <v>1108</v>
      </c>
      <c r="H1014" s="5">
        <v>386.74</v>
      </c>
      <c r="I1014" s="2" t="s">
        <v>18</v>
      </c>
      <c r="J1014" s="3">
        <v>43013</v>
      </c>
      <c r="K1014" s="2">
        <v>0.13900000000000001</v>
      </c>
      <c r="L1014" s="2">
        <v>0.30599999999999999</v>
      </c>
      <c r="M1014" s="2">
        <v>64</v>
      </c>
      <c r="N1014" s="2" t="s">
        <v>1103</v>
      </c>
    </row>
    <row r="1015" spans="1:14" x14ac:dyDescent="0.3">
      <c r="A1015" s="2" t="s">
        <v>14</v>
      </c>
      <c r="B1015" s="2" t="s">
        <v>15</v>
      </c>
      <c r="C1015" s="2" t="s">
        <v>16</v>
      </c>
      <c r="D1015" s="2" t="str">
        <f>("012001")</f>
        <v>012001</v>
      </c>
      <c r="E1015" s="2" t="str">
        <f>("622454120013")</f>
        <v>622454120013</v>
      </c>
      <c r="G1015" s="2" t="s">
        <v>1109</v>
      </c>
      <c r="H1015" s="5">
        <v>79.27</v>
      </c>
      <c r="I1015" s="2" t="s">
        <v>18</v>
      </c>
      <c r="J1015" s="3">
        <v>43013</v>
      </c>
      <c r="K1015" s="2">
        <v>4.4999999999999998E-2</v>
      </c>
      <c r="L1015" s="2">
        <v>9.9000000000000005E-2</v>
      </c>
      <c r="M1015" s="2">
        <v>410</v>
      </c>
      <c r="N1015" s="2" t="s">
        <v>1110</v>
      </c>
    </row>
    <row r="1016" spans="1:14" x14ac:dyDescent="0.3">
      <c r="A1016" s="2" t="s">
        <v>14</v>
      </c>
      <c r="B1016" s="2" t="s">
        <v>15</v>
      </c>
      <c r="C1016" s="2" t="s">
        <v>16</v>
      </c>
      <c r="D1016" s="2" t="str">
        <f>("012010")</f>
        <v>012010</v>
      </c>
      <c r="E1016" s="2" t="str">
        <f>("622454120105")</f>
        <v>622454120105</v>
      </c>
      <c r="G1016" s="2" t="s">
        <v>1111</v>
      </c>
      <c r="H1016" s="5">
        <v>109.64</v>
      </c>
      <c r="I1016" s="2" t="s">
        <v>18</v>
      </c>
      <c r="J1016" s="3">
        <v>43013</v>
      </c>
      <c r="K1016" s="2">
        <v>5.6000000000000001E-2</v>
      </c>
      <c r="L1016" s="2">
        <v>0.123</v>
      </c>
      <c r="M1016" s="2">
        <v>325</v>
      </c>
      <c r="N1016" s="2" t="s">
        <v>1110</v>
      </c>
    </row>
    <row r="1017" spans="1:14" x14ac:dyDescent="0.3">
      <c r="A1017" s="2" t="s">
        <v>14</v>
      </c>
      <c r="B1017" s="2" t="s">
        <v>15</v>
      </c>
      <c r="C1017" s="2" t="s">
        <v>16</v>
      </c>
      <c r="D1017" s="2" t="str">
        <f>("012034")</f>
        <v>012034</v>
      </c>
      <c r="E1017" s="2" t="str">
        <f>("622454120341")</f>
        <v>622454120341</v>
      </c>
      <c r="G1017" s="2" t="s">
        <v>1112</v>
      </c>
      <c r="H1017" s="5">
        <v>176.02</v>
      </c>
      <c r="I1017" s="2" t="s">
        <v>18</v>
      </c>
      <c r="J1017" s="3">
        <v>43013</v>
      </c>
      <c r="K1017" s="2">
        <v>7.6999999999999999E-2</v>
      </c>
      <c r="L1017" s="2">
        <v>0.17</v>
      </c>
      <c r="M1017" s="2">
        <v>365</v>
      </c>
      <c r="N1017" s="2" t="s">
        <v>1110</v>
      </c>
    </row>
    <row r="1018" spans="1:14" x14ac:dyDescent="0.3">
      <c r="A1018" s="2" t="s">
        <v>14</v>
      </c>
      <c r="B1018" s="2" t="s">
        <v>15</v>
      </c>
      <c r="C1018" s="2" t="s">
        <v>16</v>
      </c>
      <c r="D1018" s="2" t="str">
        <f>("012002")</f>
        <v>012002</v>
      </c>
      <c r="E1018" s="2" t="str">
        <f>("622454120020")</f>
        <v>622454120020</v>
      </c>
      <c r="G1018" s="2" t="s">
        <v>1113</v>
      </c>
      <c r="H1018" s="5">
        <v>82.38</v>
      </c>
      <c r="I1018" s="2" t="s">
        <v>18</v>
      </c>
      <c r="J1018" s="3">
        <v>43013</v>
      </c>
      <c r="K1018" s="2">
        <v>4.4999999999999998E-2</v>
      </c>
      <c r="L1018" s="2">
        <v>9.9000000000000005E-2</v>
      </c>
      <c r="M1018" s="2">
        <v>185</v>
      </c>
      <c r="N1018" s="2" t="s">
        <v>1114</v>
      </c>
    </row>
    <row r="1019" spans="1:14" x14ac:dyDescent="0.3">
      <c r="A1019" s="2" t="s">
        <v>14</v>
      </c>
      <c r="B1019" s="2" t="s">
        <v>15</v>
      </c>
      <c r="C1019" s="2" t="s">
        <v>16</v>
      </c>
      <c r="D1019" s="2" t="str">
        <f>("012011")</f>
        <v>012011</v>
      </c>
      <c r="E1019" s="2" t="str">
        <f>("622454120112")</f>
        <v>622454120112</v>
      </c>
      <c r="G1019" s="2" t="s">
        <v>1115</v>
      </c>
      <c r="H1019" s="5">
        <v>121.5</v>
      </c>
      <c r="I1019" s="2" t="s">
        <v>18</v>
      </c>
      <c r="J1019" s="3">
        <v>43013</v>
      </c>
      <c r="K1019" s="2">
        <v>5.6000000000000001E-2</v>
      </c>
      <c r="L1019" s="2">
        <v>0.123</v>
      </c>
      <c r="M1019" s="2">
        <v>145</v>
      </c>
      <c r="N1019" s="2" t="s">
        <v>1114</v>
      </c>
    </row>
    <row r="1020" spans="1:14" x14ac:dyDescent="0.3">
      <c r="A1020" s="2" t="s">
        <v>14</v>
      </c>
      <c r="B1020" s="2" t="s">
        <v>15</v>
      </c>
      <c r="C1020" s="2" t="s">
        <v>16</v>
      </c>
      <c r="D1020" s="2" t="str">
        <f>("012021")</f>
        <v>012021</v>
      </c>
      <c r="E1020" s="2" t="str">
        <f>("622454120211")</f>
        <v>622454120211</v>
      </c>
      <c r="G1020" s="2" t="s">
        <v>1116</v>
      </c>
      <c r="H1020" s="5">
        <v>178.96</v>
      </c>
      <c r="I1020" s="2" t="s">
        <v>18</v>
      </c>
      <c r="J1020" s="3">
        <v>43013</v>
      </c>
      <c r="K1020" s="2">
        <v>7.6999999999999999E-2</v>
      </c>
      <c r="L1020" s="2">
        <v>0.17</v>
      </c>
      <c r="M1020" s="2">
        <v>155</v>
      </c>
      <c r="N1020" s="2" t="s">
        <v>1114</v>
      </c>
    </row>
    <row r="1021" spans="1:14" x14ac:dyDescent="0.3">
      <c r="A1021" s="2" t="s">
        <v>14</v>
      </c>
      <c r="B1021" s="2" t="s">
        <v>15</v>
      </c>
      <c r="C1021" s="2" t="s">
        <v>16</v>
      </c>
      <c r="D1021" s="2" t="str">
        <f>("012047")</f>
        <v>012047</v>
      </c>
      <c r="E1021" s="2" t="str">
        <f>("622454120471")</f>
        <v>622454120471</v>
      </c>
      <c r="G1021" s="2" t="s">
        <v>1117</v>
      </c>
      <c r="H1021" s="5">
        <v>241.71</v>
      </c>
      <c r="I1021" s="2" t="s">
        <v>18</v>
      </c>
      <c r="J1021" s="3">
        <v>43013</v>
      </c>
      <c r="K1021" s="2">
        <v>7.4999999999999997E-2</v>
      </c>
      <c r="L1021" s="2">
        <v>0.16500000000000001</v>
      </c>
      <c r="M1021" s="2">
        <v>205</v>
      </c>
      <c r="N1021" s="2" t="s">
        <v>1114</v>
      </c>
    </row>
    <row r="1022" spans="1:14" x14ac:dyDescent="0.3">
      <c r="A1022" s="2" t="s">
        <v>14</v>
      </c>
      <c r="B1022" s="2" t="s">
        <v>15</v>
      </c>
      <c r="C1022" s="2" t="s">
        <v>16</v>
      </c>
      <c r="D1022" s="2" t="str">
        <f>("012033")</f>
        <v>012033</v>
      </c>
      <c r="E1022" s="2" t="str">
        <f>("622454120334")</f>
        <v>622454120334</v>
      </c>
      <c r="G1022" s="2" t="s">
        <v>1118</v>
      </c>
      <c r="H1022" s="5">
        <v>332.71</v>
      </c>
      <c r="I1022" s="2" t="s">
        <v>18</v>
      </c>
      <c r="J1022" s="3">
        <v>43013</v>
      </c>
      <c r="K1022" s="2">
        <v>9.5000000000000001E-2</v>
      </c>
      <c r="L1022" s="2">
        <v>0.20899999999999999</v>
      </c>
      <c r="M1022" s="2">
        <v>203</v>
      </c>
      <c r="N1022" s="2" t="s">
        <v>1114</v>
      </c>
    </row>
    <row r="1023" spans="1:14" x14ac:dyDescent="0.3">
      <c r="A1023" s="2" t="s">
        <v>14</v>
      </c>
      <c r="B1023" s="2" t="s">
        <v>15</v>
      </c>
      <c r="C1023" s="2" t="s">
        <v>16</v>
      </c>
      <c r="D1023" s="2" t="str">
        <f>("012044")</f>
        <v>012044</v>
      </c>
      <c r="E1023" s="2" t="str">
        <f>("622454120440")</f>
        <v>622454120440</v>
      </c>
      <c r="G1023" s="2" t="s">
        <v>1119</v>
      </c>
      <c r="H1023" s="5">
        <v>386.74</v>
      </c>
      <c r="I1023" s="2" t="s">
        <v>18</v>
      </c>
      <c r="J1023" s="3">
        <v>43013</v>
      </c>
      <c r="K1023" s="2">
        <v>0.14099999999999999</v>
      </c>
      <c r="L1023" s="2">
        <v>0.311</v>
      </c>
      <c r="M1023" s="2">
        <v>160</v>
      </c>
      <c r="N1023" s="2" t="s">
        <v>1114</v>
      </c>
    </row>
    <row r="1024" spans="1:14" x14ac:dyDescent="0.3">
      <c r="A1024" s="2" t="s">
        <v>14</v>
      </c>
      <c r="B1024" s="2" t="s">
        <v>15</v>
      </c>
      <c r="C1024" s="2" t="s">
        <v>16</v>
      </c>
      <c r="D1024" s="2" t="str">
        <f>("012335")</f>
        <v>012335</v>
      </c>
      <c r="E1024" s="2" t="str">
        <f>("622454123359")</f>
        <v>622454123359</v>
      </c>
      <c r="G1024" s="2" t="s">
        <v>1120</v>
      </c>
      <c r="H1024" s="5">
        <v>89.15</v>
      </c>
      <c r="I1024" s="2" t="s">
        <v>18</v>
      </c>
      <c r="J1024" s="3">
        <v>43013</v>
      </c>
      <c r="K1024" s="2">
        <v>4.4999999999999998E-2</v>
      </c>
      <c r="L1024" s="2">
        <v>9.9000000000000005E-2</v>
      </c>
      <c r="M1024" s="2">
        <v>185</v>
      </c>
      <c r="N1024" s="2" t="s">
        <v>1114</v>
      </c>
    </row>
    <row r="1025" spans="1:14" x14ac:dyDescent="0.3">
      <c r="A1025" s="2" t="s">
        <v>14</v>
      </c>
      <c r="B1025" s="2" t="s">
        <v>15</v>
      </c>
      <c r="C1025" s="2" t="s">
        <v>16</v>
      </c>
      <c r="D1025" s="2" t="str">
        <f>("012337")</f>
        <v>012337</v>
      </c>
      <c r="E1025" s="2" t="str">
        <f>("622454123373")</f>
        <v>622454123373</v>
      </c>
      <c r="G1025" s="2" t="s">
        <v>1121</v>
      </c>
      <c r="H1025" s="5">
        <v>131.53</v>
      </c>
      <c r="I1025" s="2" t="s">
        <v>18</v>
      </c>
      <c r="J1025" s="3">
        <v>43013</v>
      </c>
      <c r="K1025" s="2">
        <v>5.6000000000000001E-2</v>
      </c>
      <c r="L1025" s="2">
        <v>0.123</v>
      </c>
      <c r="M1025" s="2">
        <v>145</v>
      </c>
      <c r="N1025" s="2" t="s">
        <v>1114</v>
      </c>
    </row>
    <row r="1026" spans="1:14" x14ac:dyDescent="0.3">
      <c r="A1026" s="2" t="s">
        <v>14</v>
      </c>
      <c r="B1026" s="2" t="s">
        <v>15</v>
      </c>
      <c r="C1026" s="2" t="s">
        <v>16</v>
      </c>
      <c r="D1026" s="2" t="str">
        <f>("012340")</f>
        <v>012340</v>
      </c>
      <c r="E1026" s="2" t="str">
        <f>("622454123403")</f>
        <v>622454123403</v>
      </c>
      <c r="G1026" s="2" t="s">
        <v>1122</v>
      </c>
      <c r="H1026" s="5">
        <v>198.47</v>
      </c>
      <c r="I1026" s="2" t="s">
        <v>18</v>
      </c>
      <c r="J1026" s="3">
        <v>43013</v>
      </c>
      <c r="K1026" s="2">
        <v>7.8E-2</v>
      </c>
      <c r="L1026" s="2">
        <v>0.17199999999999999</v>
      </c>
      <c r="M1026" s="2">
        <v>155</v>
      </c>
      <c r="N1026" s="2" t="s">
        <v>1114</v>
      </c>
    </row>
    <row r="1027" spans="1:14" x14ac:dyDescent="0.3">
      <c r="A1027" s="2" t="s">
        <v>14</v>
      </c>
      <c r="B1027" s="2" t="s">
        <v>15</v>
      </c>
      <c r="C1027" s="2" t="s">
        <v>16</v>
      </c>
      <c r="D1027" s="2" t="str">
        <f>("012305")</f>
        <v>012305</v>
      </c>
      <c r="E1027" s="2" t="str">
        <f>("622454123052")</f>
        <v>622454123052</v>
      </c>
      <c r="G1027" s="2" t="s">
        <v>1123</v>
      </c>
      <c r="H1027" s="5">
        <v>89.15</v>
      </c>
      <c r="I1027" s="2" t="s">
        <v>18</v>
      </c>
      <c r="J1027" s="3">
        <v>43013</v>
      </c>
      <c r="K1027" s="2">
        <v>4.2000000000000003E-2</v>
      </c>
      <c r="L1027" s="2">
        <v>9.2999999999999999E-2</v>
      </c>
      <c r="M1027" s="2">
        <v>185</v>
      </c>
      <c r="N1027" s="2" t="s">
        <v>1114</v>
      </c>
    </row>
    <row r="1028" spans="1:14" x14ac:dyDescent="0.3">
      <c r="A1028" s="2" t="s">
        <v>14</v>
      </c>
      <c r="B1028" s="2" t="s">
        <v>15</v>
      </c>
      <c r="C1028" s="2" t="s">
        <v>16</v>
      </c>
      <c r="D1028" s="2" t="str">
        <f>("012307")</f>
        <v>012307</v>
      </c>
      <c r="E1028" s="2" t="str">
        <f>("622454123076")</f>
        <v>622454123076</v>
      </c>
      <c r="G1028" s="2" t="s">
        <v>1124</v>
      </c>
      <c r="H1028" s="5">
        <v>131.53</v>
      </c>
      <c r="I1028" s="2" t="s">
        <v>18</v>
      </c>
      <c r="J1028" s="3">
        <v>43013</v>
      </c>
      <c r="K1028" s="2">
        <v>5.6000000000000001E-2</v>
      </c>
      <c r="L1028" s="2">
        <v>0.123</v>
      </c>
      <c r="M1028" s="2">
        <v>145</v>
      </c>
      <c r="N1028" s="2" t="s">
        <v>1114</v>
      </c>
    </row>
    <row r="1029" spans="1:14" x14ac:dyDescent="0.3">
      <c r="A1029" s="2" t="s">
        <v>14</v>
      </c>
      <c r="B1029" s="2" t="s">
        <v>15</v>
      </c>
      <c r="C1029" s="2" t="s">
        <v>16</v>
      </c>
      <c r="D1029" s="2" t="str">
        <f>("012310")</f>
        <v>012310</v>
      </c>
      <c r="E1029" s="2" t="str">
        <f>("622454123106")</f>
        <v>622454123106</v>
      </c>
      <c r="G1029" s="2" t="s">
        <v>1125</v>
      </c>
      <c r="H1029" s="5">
        <v>198.47</v>
      </c>
      <c r="I1029" s="2" t="s">
        <v>18</v>
      </c>
      <c r="J1029" s="3">
        <v>43013</v>
      </c>
      <c r="K1029" s="2">
        <v>7.8E-2</v>
      </c>
      <c r="L1029" s="2">
        <v>0.17199999999999999</v>
      </c>
      <c r="M1029" s="2">
        <v>155</v>
      </c>
      <c r="N1029" s="2" t="s">
        <v>1114</v>
      </c>
    </row>
    <row r="1030" spans="1:14" x14ac:dyDescent="0.3">
      <c r="A1030" s="2" t="s">
        <v>14</v>
      </c>
      <c r="B1030" s="2" t="s">
        <v>15</v>
      </c>
      <c r="C1030" s="2" t="s">
        <v>16</v>
      </c>
      <c r="D1030" s="2" t="str">
        <f>("089066")</f>
        <v>089066</v>
      </c>
      <c r="E1030" s="2" t="str">
        <f>("622454383746")</f>
        <v>622454383746</v>
      </c>
      <c r="G1030" s="2" t="s">
        <v>1126</v>
      </c>
      <c r="H1030" s="5">
        <v>5625.27</v>
      </c>
      <c r="I1030" s="2" t="s">
        <v>18</v>
      </c>
      <c r="J1030" s="3">
        <v>43013</v>
      </c>
      <c r="K1030" s="2">
        <v>0.13300000000000001</v>
      </c>
      <c r="L1030" s="2">
        <v>0.29299999999999998</v>
      </c>
      <c r="M1030" s="2">
        <v>258</v>
      </c>
      <c r="N1030" s="2" t="s">
        <v>1127</v>
      </c>
    </row>
    <row r="1031" spans="1:14" x14ac:dyDescent="0.3">
      <c r="A1031" s="2" t="s">
        <v>14</v>
      </c>
      <c r="B1031" s="2" t="s">
        <v>15</v>
      </c>
      <c r="C1031" s="2" t="s">
        <v>16</v>
      </c>
      <c r="D1031" s="2" t="str">
        <f>("089067")</f>
        <v>089067</v>
      </c>
      <c r="E1031" s="2" t="str">
        <f>("622454383753")</f>
        <v>622454383753</v>
      </c>
      <c r="G1031" s="2" t="s">
        <v>1128</v>
      </c>
      <c r="H1031" s="5">
        <v>1640.71</v>
      </c>
      <c r="I1031" s="2" t="s">
        <v>18</v>
      </c>
      <c r="J1031" s="3">
        <v>43013</v>
      </c>
      <c r="K1031" s="2">
        <v>2.8000000000000001E-2</v>
      </c>
      <c r="L1031" s="2">
        <v>6.2E-2</v>
      </c>
      <c r="M1031" s="2">
        <v>1007</v>
      </c>
      <c r="N1031" s="2" t="s">
        <v>1127</v>
      </c>
    </row>
    <row r="1032" spans="1:14" x14ac:dyDescent="0.3">
      <c r="A1032" s="2" t="s">
        <v>14</v>
      </c>
      <c r="B1032" s="2" t="s">
        <v>15</v>
      </c>
      <c r="C1032" s="2" t="s">
        <v>16</v>
      </c>
      <c r="D1032" s="2" t="str">
        <f>("089068")</f>
        <v>089068</v>
      </c>
      <c r="E1032" s="2" t="str">
        <f>("622454383760")</f>
        <v>622454383760</v>
      </c>
      <c r="G1032" s="2" t="s">
        <v>1129</v>
      </c>
      <c r="H1032" s="5">
        <v>6186.13</v>
      </c>
      <c r="I1032" s="2" t="s">
        <v>18</v>
      </c>
      <c r="J1032" s="3">
        <v>43013</v>
      </c>
      <c r="K1032" s="2">
        <v>0.14000000000000001</v>
      </c>
      <c r="L1032" s="2">
        <v>0.309</v>
      </c>
      <c r="M1032" s="2">
        <v>258</v>
      </c>
      <c r="N1032" s="2" t="s">
        <v>1127</v>
      </c>
    </row>
    <row r="1033" spans="1:14" x14ac:dyDescent="0.3">
      <c r="A1033" s="2" t="s">
        <v>14</v>
      </c>
      <c r="B1033" s="2" t="s">
        <v>15</v>
      </c>
      <c r="C1033" s="2" t="s">
        <v>16</v>
      </c>
      <c r="D1033" s="2" t="str">
        <f>("089069")</f>
        <v>089069</v>
      </c>
      <c r="E1033" s="2" t="str">
        <f>("622454383777")</f>
        <v>622454383777</v>
      </c>
      <c r="G1033" s="2" t="s">
        <v>1130</v>
      </c>
      <c r="H1033" s="5">
        <v>1803.94</v>
      </c>
      <c r="I1033" s="2" t="s">
        <v>18</v>
      </c>
      <c r="J1033" s="3">
        <v>43013</v>
      </c>
      <c r="K1033" s="2">
        <v>0.3</v>
      </c>
      <c r="L1033" s="2">
        <v>0.66100000000000003</v>
      </c>
      <c r="M1033" s="2">
        <v>1007</v>
      </c>
      <c r="N1033" s="2" t="s">
        <v>1127</v>
      </c>
    </row>
    <row r="1034" spans="1:14" x14ac:dyDescent="0.3">
      <c r="A1034" s="2" t="s">
        <v>14</v>
      </c>
      <c r="B1034" s="2" t="s">
        <v>15</v>
      </c>
      <c r="C1034" s="2" t="s">
        <v>16</v>
      </c>
      <c r="D1034" s="2" t="str">
        <f>("089460")</f>
        <v>089460</v>
      </c>
      <c r="E1034" s="2" t="str">
        <f>("622454894600")</f>
        <v>622454894600</v>
      </c>
      <c r="G1034" s="2" t="s">
        <v>1131</v>
      </c>
      <c r="H1034" s="5">
        <v>1088.04</v>
      </c>
      <c r="I1034" s="2" t="s">
        <v>18</v>
      </c>
      <c r="J1034" s="3">
        <v>43013</v>
      </c>
      <c r="K1034" s="2">
        <v>0.30499999999999999</v>
      </c>
      <c r="L1034" s="2">
        <v>0.67200000000000004</v>
      </c>
      <c r="M1034" s="2">
        <v>25154</v>
      </c>
      <c r="N1034" s="2" t="s">
        <v>1132</v>
      </c>
    </row>
    <row r="1035" spans="1:14" x14ac:dyDescent="0.3">
      <c r="A1035" s="2" t="s">
        <v>14</v>
      </c>
      <c r="B1035" s="2" t="s">
        <v>15</v>
      </c>
      <c r="C1035" s="2" t="s">
        <v>16</v>
      </c>
      <c r="D1035" s="2" t="str">
        <f>("089461")</f>
        <v>089461</v>
      </c>
      <c r="E1035" s="2" t="str">
        <f>("622454894617")</f>
        <v>622454894617</v>
      </c>
      <c r="G1035" s="2" t="s">
        <v>1133</v>
      </c>
      <c r="H1035" s="5">
        <v>1088.04</v>
      </c>
      <c r="I1035" s="2" t="s">
        <v>18</v>
      </c>
      <c r="J1035" s="3">
        <v>43013</v>
      </c>
      <c r="K1035" s="2">
        <v>0.307</v>
      </c>
      <c r="L1035" s="2">
        <v>0.67700000000000005</v>
      </c>
      <c r="M1035" s="2">
        <v>2517</v>
      </c>
      <c r="N1035" s="2" t="s">
        <v>1132</v>
      </c>
    </row>
    <row r="1036" spans="1:14" x14ac:dyDescent="0.3">
      <c r="A1036" s="2" t="s">
        <v>14</v>
      </c>
      <c r="B1036" s="2" t="s">
        <v>15</v>
      </c>
      <c r="C1036" s="2" t="s">
        <v>16</v>
      </c>
      <c r="D1036" s="2" t="str">
        <f>("089465")</f>
        <v>089465</v>
      </c>
      <c r="E1036" s="2" t="str">
        <f>("622454894655")</f>
        <v>622454894655</v>
      </c>
      <c r="G1036" s="2" t="s">
        <v>1134</v>
      </c>
      <c r="H1036" s="5">
        <v>1543.15</v>
      </c>
      <c r="I1036" s="2" t="s">
        <v>18</v>
      </c>
      <c r="J1036" s="3">
        <v>43013</v>
      </c>
      <c r="K1036" s="2">
        <v>0.35299999999999998</v>
      </c>
      <c r="L1036" s="2">
        <v>0.77800000000000002</v>
      </c>
      <c r="M1036" s="2">
        <v>2518</v>
      </c>
      <c r="N1036" s="2" t="s">
        <v>1132</v>
      </c>
    </row>
    <row r="1037" spans="1:14" x14ac:dyDescent="0.3">
      <c r="A1037" s="2" t="s">
        <v>14</v>
      </c>
      <c r="B1037" s="2" t="s">
        <v>15</v>
      </c>
      <c r="C1037" s="2" t="s">
        <v>16</v>
      </c>
      <c r="D1037" s="2" t="str">
        <f>("089458")</f>
        <v>089458</v>
      </c>
      <c r="E1037" s="2" t="str">
        <f>("622454894587")</f>
        <v>622454894587</v>
      </c>
      <c r="G1037" s="2" t="s">
        <v>1135</v>
      </c>
      <c r="H1037" s="5">
        <v>1596.36</v>
      </c>
      <c r="I1037" s="2" t="s">
        <v>18</v>
      </c>
      <c r="J1037" s="3">
        <v>43013</v>
      </c>
      <c r="K1037" s="2">
        <v>0.35399999999999998</v>
      </c>
      <c r="L1037" s="2">
        <v>0.78</v>
      </c>
      <c r="M1037" s="2">
        <v>2520</v>
      </c>
      <c r="N1037" s="2" t="s">
        <v>1132</v>
      </c>
    </row>
    <row r="1038" spans="1:14" x14ac:dyDescent="0.3">
      <c r="A1038" s="2" t="s">
        <v>14</v>
      </c>
      <c r="B1038" s="2" t="s">
        <v>15</v>
      </c>
      <c r="C1038" s="2" t="s">
        <v>16</v>
      </c>
      <c r="D1038" s="2" t="str">
        <f>("089462")</f>
        <v>089462</v>
      </c>
      <c r="E1038" s="2" t="str">
        <f>("622454894624")</f>
        <v>622454894624</v>
      </c>
      <c r="G1038" s="2" t="s">
        <v>1136</v>
      </c>
      <c r="H1038" s="5">
        <v>1649.58</v>
      </c>
      <c r="I1038" s="2" t="s">
        <v>18</v>
      </c>
      <c r="J1038" s="3">
        <v>43013</v>
      </c>
      <c r="K1038" s="2">
        <v>0.35299999999999998</v>
      </c>
      <c r="L1038" s="2">
        <v>0.77800000000000002</v>
      </c>
      <c r="M1038" s="2">
        <v>2519</v>
      </c>
      <c r="N1038" s="2" t="s">
        <v>1132</v>
      </c>
    </row>
    <row r="1039" spans="1:14" x14ac:dyDescent="0.3">
      <c r="A1039" s="2" t="s">
        <v>14</v>
      </c>
      <c r="B1039" s="2" t="s">
        <v>15</v>
      </c>
      <c r="C1039" s="2" t="s">
        <v>16</v>
      </c>
      <c r="D1039" s="2" t="str">
        <f>("089464")</f>
        <v>089464</v>
      </c>
      <c r="E1039" s="2" t="str">
        <f>("622454205369")</f>
        <v>622454205369</v>
      </c>
      <c r="G1039" s="2" t="s">
        <v>1137</v>
      </c>
      <c r="H1039" s="5">
        <v>1702.79</v>
      </c>
      <c r="I1039" s="2" t="s">
        <v>18</v>
      </c>
      <c r="J1039" s="3">
        <v>43013</v>
      </c>
      <c r="K1039" s="2">
        <v>0.36099999999999999</v>
      </c>
      <c r="L1039" s="2">
        <v>0.79600000000000004</v>
      </c>
      <c r="M1039" s="2">
        <v>2520</v>
      </c>
      <c r="N1039" s="2" t="s">
        <v>1132</v>
      </c>
    </row>
    <row r="1040" spans="1:14" x14ac:dyDescent="0.3">
      <c r="A1040" s="2" t="s">
        <v>14</v>
      </c>
      <c r="B1040" s="2" t="s">
        <v>15</v>
      </c>
      <c r="C1040" s="2" t="s">
        <v>16</v>
      </c>
      <c r="D1040" s="2" t="str">
        <f>("089466")</f>
        <v>089466</v>
      </c>
      <c r="E1040" s="2" t="str">
        <f>("622454894662")</f>
        <v>622454894662</v>
      </c>
      <c r="G1040" s="2" t="s">
        <v>1138</v>
      </c>
      <c r="H1040" s="5">
        <v>1702.79</v>
      </c>
      <c r="I1040" s="2" t="s">
        <v>18</v>
      </c>
      <c r="J1040" s="3">
        <v>43013</v>
      </c>
      <c r="K1040" s="2">
        <v>0.35899999999999999</v>
      </c>
      <c r="L1040" s="2">
        <v>0.79100000000000004</v>
      </c>
      <c r="M1040" s="2">
        <v>2520</v>
      </c>
      <c r="N1040" s="2" t="s">
        <v>1132</v>
      </c>
    </row>
    <row r="1041" spans="1:14" x14ac:dyDescent="0.3">
      <c r="A1041" s="2" t="s">
        <v>14</v>
      </c>
      <c r="B1041" s="2" t="s">
        <v>15</v>
      </c>
      <c r="C1041" s="2" t="s">
        <v>16</v>
      </c>
      <c r="D1041" s="2" t="str">
        <f>("089490")</f>
        <v>089490</v>
      </c>
      <c r="E1041" s="2" t="str">
        <f>("622454238770")</f>
        <v>622454238770</v>
      </c>
      <c r="G1041" s="2" t="s">
        <v>1139</v>
      </c>
      <c r="H1041" s="5">
        <v>1088.04</v>
      </c>
      <c r="I1041" s="2" t="s">
        <v>18</v>
      </c>
      <c r="J1041" s="3">
        <v>43013</v>
      </c>
      <c r="K1041" s="2">
        <v>0.217</v>
      </c>
      <c r="L1041" s="2">
        <v>0.47799999999999998</v>
      </c>
      <c r="M1041" s="2">
        <v>2010</v>
      </c>
      <c r="N1041" s="2" t="s">
        <v>1132</v>
      </c>
    </row>
    <row r="1042" spans="1:14" x14ac:dyDescent="0.3">
      <c r="A1042" s="2" t="s">
        <v>14</v>
      </c>
      <c r="B1042" s="2" t="s">
        <v>15</v>
      </c>
      <c r="C1042" s="2" t="s">
        <v>16</v>
      </c>
      <c r="D1042" s="2" t="str">
        <f>("089491")</f>
        <v>089491</v>
      </c>
      <c r="E1042" s="2" t="str">
        <f>("622454238787")</f>
        <v>622454238787</v>
      </c>
      <c r="G1042" s="2" t="s">
        <v>1140</v>
      </c>
      <c r="H1042" s="5">
        <v>1088.04</v>
      </c>
      <c r="I1042" s="2" t="s">
        <v>18</v>
      </c>
      <c r="J1042" s="3">
        <v>43013</v>
      </c>
      <c r="K1042" s="2">
        <v>0.219</v>
      </c>
      <c r="L1042" s="2">
        <v>0.48299999999999998</v>
      </c>
      <c r="M1042" s="2">
        <v>2011</v>
      </c>
      <c r="N1042" s="2" t="s">
        <v>1132</v>
      </c>
    </row>
    <row r="1043" spans="1:14" x14ac:dyDescent="0.3">
      <c r="A1043" s="2" t="s">
        <v>14</v>
      </c>
      <c r="B1043" s="2" t="s">
        <v>15</v>
      </c>
      <c r="C1043" s="2" t="s">
        <v>16</v>
      </c>
      <c r="D1043" s="2" t="str">
        <f>("089480")</f>
        <v>089480</v>
      </c>
      <c r="E1043" s="2" t="str">
        <f>("622454229334")</f>
        <v>622454229334</v>
      </c>
      <c r="G1043" s="2" t="s">
        <v>1141</v>
      </c>
      <c r="H1043" s="5">
        <v>1543.15</v>
      </c>
      <c r="I1043" s="2" t="s">
        <v>18</v>
      </c>
      <c r="J1043" s="3">
        <v>43013</v>
      </c>
      <c r="K1043" s="2">
        <v>0.30499999999999999</v>
      </c>
      <c r="L1043" s="2">
        <v>0.67200000000000004</v>
      </c>
      <c r="M1043" s="2">
        <v>2013</v>
      </c>
      <c r="N1043" s="2" t="s">
        <v>1132</v>
      </c>
    </row>
    <row r="1044" spans="1:14" x14ac:dyDescent="0.3">
      <c r="A1044" s="2" t="s">
        <v>14</v>
      </c>
      <c r="B1044" s="2" t="s">
        <v>15</v>
      </c>
      <c r="C1044" s="2" t="s">
        <v>16</v>
      </c>
      <c r="D1044" s="2" t="str">
        <f>("089481")</f>
        <v>089481</v>
      </c>
      <c r="E1044" s="2" t="str">
        <f>("622454229341")</f>
        <v>622454229341</v>
      </c>
      <c r="G1044" s="2" t="s">
        <v>1142</v>
      </c>
      <c r="H1044" s="5">
        <v>1596.36</v>
      </c>
      <c r="I1044" s="2" t="s">
        <v>18</v>
      </c>
      <c r="J1044" s="3">
        <v>43013</v>
      </c>
      <c r="K1044" s="2">
        <v>0.30599999999999999</v>
      </c>
      <c r="L1044" s="2">
        <v>0.67500000000000004</v>
      </c>
      <c r="M1044" s="2">
        <v>2013</v>
      </c>
      <c r="N1044" s="2" t="s">
        <v>1132</v>
      </c>
    </row>
    <row r="1045" spans="1:14" x14ac:dyDescent="0.3">
      <c r="A1045" s="2" t="s">
        <v>14</v>
      </c>
      <c r="B1045" s="2" t="s">
        <v>15</v>
      </c>
      <c r="C1045" s="2" t="s">
        <v>16</v>
      </c>
      <c r="D1045" s="2" t="str">
        <f>("089482")</f>
        <v>089482</v>
      </c>
      <c r="E1045" s="2" t="str">
        <f>("622454229358")</f>
        <v>622454229358</v>
      </c>
      <c r="G1045" s="2" t="s">
        <v>1143</v>
      </c>
      <c r="H1045" s="5">
        <v>1649.58</v>
      </c>
      <c r="I1045" s="2" t="s">
        <v>18</v>
      </c>
      <c r="J1045" s="3">
        <v>43013</v>
      </c>
      <c r="K1045" s="2">
        <v>0.26500000000000001</v>
      </c>
      <c r="L1045" s="2">
        <v>0.58399999999999996</v>
      </c>
      <c r="M1045" s="2">
        <v>2013</v>
      </c>
      <c r="N1045" s="2" t="s">
        <v>1132</v>
      </c>
    </row>
    <row r="1046" spans="1:14" x14ac:dyDescent="0.3">
      <c r="A1046" s="2" t="s">
        <v>14</v>
      </c>
      <c r="B1046" s="2" t="s">
        <v>15</v>
      </c>
      <c r="C1046" s="2" t="s">
        <v>16</v>
      </c>
      <c r="D1046" s="2" t="str">
        <f>("089484")</f>
        <v>089484</v>
      </c>
      <c r="E1046" s="2" t="str">
        <f>("622454229372")</f>
        <v>622454229372</v>
      </c>
      <c r="G1046" s="2" t="s">
        <v>1144</v>
      </c>
      <c r="H1046" s="5">
        <v>1702.79</v>
      </c>
      <c r="I1046" s="2" t="s">
        <v>18</v>
      </c>
      <c r="J1046" s="3">
        <v>43013</v>
      </c>
      <c r="K1046" s="2">
        <v>0.313</v>
      </c>
      <c r="L1046" s="2">
        <v>0.69</v>
      </c>
      <c r="M1046" s="2">
        <v>2013</v>
      </c>
      <c r="N1046" s="2" t="s">
        <v>1132</v>
      </c>
    </row>
    <row r="1047" spans="1:14" x14ac:dyDescent="0.3">
      <c r="A1047" s="2" t="s">
        <v>14</v>
      </c>
      <c r="B1047" s="2" t="s">
        <v>15</v>
      </c>
      <c r="C1047" s="2" t="s">
        <v>16</v>
      </c>
      <c r="D1047" s="2" t="str">
        <f>("089483")</f>
        <v>089483</v>
      </c>
      <c r="E1047" s="2" t="str">
        <f>("622454229365")</f>
        <v>622454229365</v>
      </c>
      <c r="G1047" s="2" t="s">
        <v>1145</v>
      </c>
      <c r="H1047" s="5">
        <v>1702.79</v>
      </c>
      <c r="I1047" s="2" t="s">
        <v>18</v>
      </c>
      <c r="J1047" s="3">
        <v>43013</v>
      </c>
      <c r="K1047" s="2">
        <v>0.311</v>
      </c>
      <c r="L1047" s="2">
        <v>0.68600000000000005</v>
      </c>
      <c r="M1047" s="2">
        <v>2013</v>
      </c>
      <c r="N1047" s="2" t="s">
        <v>1132</v>
      </c>
    </row>
    <row r="1048" spans="1:14" x14ac:dyDescent="0.3">
      <c r="A1048" s="2" t="s">
        <v>14</v>
      </c>
      <c r="B1048" s="2" t="s">
        <v>15</v>
      </c>
      <c r="C1048" s="2" t="s">
        <v>16</v>
      </c>
      <c r="D1048" s="2" t="str">
        <f>("089467")</f>
        <v>089467</v>
      </c>
      <c r="E1048" s="2" t="str">
        <f>("622454205406")</f>
        <v>622454205406</v>
      </c>
      <c r="G1048" s="2" t="s">
        <v>1146</v>
      </c>
      <c r="H1048" s="5">
        <v>1774.63</v>
      </c>
      <c r="I1048" s="2" t="s">
        <v>18</v>
      </c>
      <c r="J1048" s="3">
        <v>43013</v>
      </c>
      <c r="K1048" s="2">
        <v>0.318</v>
      </c>
      <c r="L1048" s="2">
        <v>0.70099999999999996</v>
      </c>
      <c r="M1048" s="2">
        <v>2518</v>
      </c>
      <c r="N1048" s="2" t="s">
        <v>1132</v>
      </c>
    </row>
    <row r="1049" spans="1:14" x14ac:dyDescent="0.3">
      <c r="A1049" s="2" t="s">
        <v>14</v>
      </c>
      <c r="B1049" s="2" t="s">
        <v>15</v>
      </c>
      <c r="C1049" s="2" t="s">
        <v>16</v>
      </c>
      <c r="D1049" s="2" t="str">
        <f>("089469")</f>
        <v>089469</v>
      </c>
      <c r="E1049" s="2" t="str">
        <f>("622454205420")</f>
        <v>622454205420</v>
      </c>
      <c r="G1049" s="2" t="s">
        <v>1147</v>
      </c>
      <c r="H1049" s="5">
        <v>1835.83</v>
      </c>
      <c r="I1049" s="2" t="s">
        <v>18</v>
      </c>
      <c r="J1049" s="3">
        <v>43013</v>
      </c>
      <c r="K1049" s="2">
        <v>0.31900000000000001</v>
      </c>
      <c r="L1049" s="2">
        <v>0.70299999999999996</v>
      </c>
      <c r="M1049" s="2">
        <v>2518</v>
      </c>
      <c r="N1049" s="2" t="s">
        <v>1132</v>
      </c>
    </row>
    <row r="1050" spans="1:14" x14ac:dyDescent="0.3">
      <c r="A1050" s="2" t="s">
        <v>14</v>
      </c>
      <c r="B1050" s="2" t="s">
        <v>15</v>
      </c>
      <c r="C1050" s="2" t="s">
        <v>16</v>
      </c>
      <c r="D1050" s="2" t="str">
        <f>("089468")</f>
        <v>089468</v>
      </c>
      <c r="E1050" s="2" t="str">
        <f>("622454205413")</f>
        <v>622454205413</v>
      </c>
      <c r="G1050" s="2" t="s">
        <v>1148</v>
      </c>
      <c r="H1050" s="5">
        <v>1936.8</v>
      </c>
      <c r="I1050" s="2" t="s">
        <v>18</v>
      </c>
      <c r="J1050" s="3">
        <v>43013</v>
      </c>
      <c r="K1050" s="2">
        <v>0.318</v>
      </c>
      <c r="L1050" s="2">
        <v>0.70099999999999996</v>
      </c>
      <c r="M1050" s="2">
        <v>2518</v>
      </c>
      <c r="N1050" s="2" t="s">
        <v>1132</v>
      </c>
    </row>
    <row r="1051" spans="1:14" x14ac:dyDescent="0.3">
      <c r="A1051" s="2" t="s">
        <v>14</v>
      </c>
      <c r="B1051" s="2" t="s">
        <v>15</v>
      </c>
      <c r="C1051" s="2" t="s">
        <v>16</v>
      </c>
      <c r="D1051" s="2" t="str">
        <f>("089475")</f>
        <v>089475</v>
      </c>
      <c r="E1051" s="2" t="str">
        <f>("622454211612")</f>
        <v>622454211612</v>
      </c>
      <c r="G1051" s="2" t="s">
        <v>1149</v>
      </c>
      <c r="H1051" s="5">
        <v>1958.21</v>
      </c>
      <c r="I1051" s="2" t="s">
        <v>18</v>
      </c>
      <c r="J1051" s="3">
        <v>43013</v>
      </c>
      <c r="K1051" s="2">
        <v>0.32600000000000001</v>
      </c>
      <c r="L1051" s="2">
        <v>0.71899999999999997</v>
      </c>
      <c r="M1051" s="2">
        <v>2518</v>
      </c>
      <c r="N1051" s="2" t="s">
        <v>1132</v>
      </c>
    </row>
    <row r="1052" spans="1:14" x14ac:dyDescent="0.3">
      <c r="A1052" s="2" t="s">
        <v>14</v>
      </c>
      <c r="B1052" s="2" t="s">
        <v>15</v>
      </c>
      <c r="C1052" s="2" t="s">
        <v>16</v>
      </c>
      <c r="D1052" s="2" t="str">
        <f>("089474")</f>
        <v>089474</v>
      </c>
      <c r="E1052" s="2" t="str">
        <f>("622454211605")</f>
        <v>622454211605</v>
      </c>
      <c r="G1052" s="2" t="s">
        <v>1150</v>
      </c>
      <c r="H1052" s="5">
        <v>1958.2</v>
      </c>
      <c r="I1052" s="2" t="s">
        <v>18</v>
      </c>
      <c r="J1052" s="3">
        <v>43013</v>
      </c>
      <c r="K1052" s="2">
        <v>0.32400000000000001</v>
      </c>
      <c r="L1052" s="2">
        <v>0.71399999999999997</v>
      </c>
      <c r="M1052" s="2">
        <v>2518</v>
      </c>
      <c r="N1052" s="2" t="s">
        <v>1132</v>
      </c>
    </row>
    <row r="1053" spans="1:14" x14ac:dyDescent="0.3">
      <c r="A1053" s="2" t="s">
        <v>14</v>
      </c>
      <c r="B1053" s="2" t="s">
        <v>15</v>
      </c>
      <c r="C1053" s="2" t="s">
        <v>16</v>
      </c>
      <c r="D1053" s="2" t="str">
        <f>("089016")</f>
        <v>089016</v>
      </c>
      <c r="E1053" s="2" t="str">
        <f>("622454278233")</f>
        <v>622454278233</v>
      </c>
      <c r="G1053" s="2" t="s">
        <v>1151</v>
      </c>
      <c r="H1053" s="5">
        <v>722.89</v>
      </c>
      <c r="I1053" s="2" t="s">
        <v>18</v>
      </c>
      <c r="J1053" s="3">
        <v>43013</v>
      </c>
      <c r="K1053" s="2">
        <v>0.17699999999999999</v>
      </c>
      <c r="L1053" s="2">
        <v>0.39</v>
      </c>
      <c r="M1053" s="2">
        <v>35125</v>
      </c>
      <c r="N1053" s="2" t="s">
        <v>1132</v>
      </c>
    </row>
    <row r="1054" spans="1:14" x14ac:dyDescent="0.3">
      <c r="A1054" s="2" t="s">
        <v>14</v>
      </c>
      <c r="B1054" s="2" t="s">
        <v>15</v>
      </c>
      <c r="C1054" s="2" t="s">
        <v>16</v>
      </c>
      <c r="D1054" s="2" t="str">
        <f>("089018")</f>
        <v>089018</v>
      </c>
      <c r="E1054" s="2" t="str">
        <f>("622454278257")</f>
        <v>622454278257</v>
      </c>
      <c r="G1054" s="2" t="s">
        <v>1152</v>
      </c>
      <c r="H1054" s="5">
        <v>899.8</v>
      </c>
      <c r="I1054" s="2" t="s">
        <v>18</v>
      </c>
      <c r="J1054" s="3">
        <v>43013</v>
      </c>
      <c r="K1054" s="2">
        <v>0.223</v>
      </c>
      <c r="L1054" s="2">
        <v>0.49199999999999999</v>
      </c>
      <c r="M1054" s="2">
        <v>3516</v>
      </c>
      <c r="N1054" s="2" t="s">
        <v>1132</v>
      </c>
    </row>
    <row r="1055" spans="1:14" x14ac:dyDescent="0.3">
      <c r="A1055" s="2" t="s">
        <v>14</v>
      </c>
      <c r="B1055" s="2" t="s">
        <v>15</v>
      </c>
      <c r="C1055" s="2" t="s">
        <v>16</v>
      </c>
      <c r="D1055" s="2" t="str">
        <f>("089019")</f>
        <v>089019</v>
      </c>
      <c r="E1055" s="2" t="str">
        <f>("622454278264")</f>
        <v>622454278264</v>
      </c>
      <c r="G1055" s="2" t="s">
        <v>1153</v>
      </c>
      <c r="H1055" s="5">
        <v>899.8</v>
      </c>
      <c r="I1055" s="2" t="s">
        <v>18</v>
      </c>
      <c r="J1055" s="3">
        <v>43013</v>
      </c>
      <c r="K1055" s="2">
        <v>0.22900000000000001</v>
      </c>
      <c r="L1055" s="2">
        <v>0.505</v>
      </c>
      <c r="M1055" s="2">
        <v>3516</v>
      </c>
      <c r="N1055" s="2" t="s">
        <v>1132</v>
      </c>
    </row>
    <row r="1056" spans="1:14" x14ac:dyDescent="0.3">
      <c r="A1056" s="2" t="s">
        <v>14</v>
      </c>
      <c r="B1056" s="2" t="s">
        <v>15</v>
      </c>
      <c r="C1056" s="2" t="s">
        <v>16</v>
      </c>
      <c r="D1056" s="2" t="str">
        <f>("089020")</f>
        <v>089020</v>
      </c>
      <c r="E1056" s="2" t="str">
        <f>("622454278271")</f>
        <v>622454278271</v>
      </c>
      <c r="G1056" s="2" t="s">
        <v>1154</v>
      </c>
      <c r="H1056" s="5">
        <v>899.8</v>
      </c>
      <c r="I1056" s="2" t="s">
        <v>18</v>
      </c>
      <c r="J1056" s="3">
        <v>43013</v>
      </c>
      <c r="K1056" s="2">
        <v>0.224</v>
      </c>
      <c r="L1056" s="2">
        <v>0.49399999999999999</v>
      </c>
      <c r="M1056" s="2">
        <v>3516</v>
      </c>
      <c r="N1056" s="2" t="s">
        <v>1132</v>
      </c>
    </row>
    <row r="1057" spans="1:14" x14ac:dyDescent="0.3">
      <c r="A1057" s="2" t="s">
        <v>14</v>
      </c>
      <c r="B1057" s="2" t="s">
        <v>15</v>
      </c>
      <c r="C1057" s="2" t="s">
        <v>16</v>
      </c>
      <c r="D1057" s="2" t="str">
        <f>("089021")</f>
        <v>089021</v>
      </c>
      <c r="E1057" s="2" t="str">
        <f>("622454278288")</f>
        <v>622454278288</v>
      </c>
      <c r="G1057" s="2" t="s">
        <v>1155</v>
      </c>
      <c r="H1057" s="5">
        <v>899.8</v>
      </c>
      <c r="I1057" s="2" t="s">
        <v>18</v>
      </c>
      <c r="J1057" s="3">
        <v>43013</v>
      </c>
      <c r="K1057" s="2">
        <v>0.23100000000000001</v>
      </c>
      <c r="L1057" s="2">
        <v>0.50900000000000001</v>
      </c>
      <c r="M1057" s="2">
        <v>3520</v>
      </c>
      <c r="N1057" s="2" t="s">
        <v>1132</v>
      </c>
    </row>
    <row r="1058" spans="1:14" x14ac:dyDescent="0.3">
      <c r="A1058" s="2" t="s">
        <v>14</v>
      </c>
      <c r="B1058" s="2" t="s">
        <v>15</v>
      </c>
      <c r="C1058" s="2" t="s">
        <v>16</v>
      </c>
      <c r="D1058" s="2" t="str">
        <f>("089022")</f>
        <v>089022</v>
      </c>
      <c r="E1058" s="2" t="str">
        <f>("622454278295")</f>
        <v>622454278295</v>
      </c>
      <c r="G1058" s="2" t="s">
        <v>1156</v>
      </c>
      <c r="H1058" s="5">
        <v>894.19</v>
      </c>
      <c r="I1058" s="2" t="s">
        <v>18</v>
      </c>
      <c r="J1058" s="3">
        <v>43013</v>
      </c>
      <c r="K1058" s="2">
        <v>0.223</v>
      </c>
      <c r="L1058" s="2">
        <v>0.49199999999999999</v>
      </c>
      <c r="M1058" s="2">
        <v>3516</v>
      </c>
      <c r="N1058" s="2" t="s">
        <v>1132</v>
      </c>
    </row>
    <row r="1059" spans="1:14" x14ac:dyDescent="0.3">
      <c r="A1059" s="2" t="s">
        <v>14</v>
      </c>
      <c r="B1059" s="2" t="s">
        <v>15</v>
      </c>
      <c r="C1059" s="2" t="s">
        <v>16</v>
      </c>
      <c r="D1059" s="2" t="str">
        <f>("089494")</f>
        <v>089494</v>
      </c>
      <c r="E1059" s="2" t="str">
        <f>("622454281950")</f>
        <v>622454281950</v>
      </c>
      <c r="G1059" s="2" t="s">
        <v>1157</v>
      </c>
      <c r="H1059" s="5">
        <v>722.89</v>
      </c>
      <c r="I1059" s="2" t="s">
        <v>18</v>
      </c>
      <c r="J1059" s="3">
        <v>43013</v>
      </c>
      <c r="K1059" s="2">
        <v>5.3999999999999999E-2</v>
      </c>
      <c r="L1059" s="2">
        <v>0.11899999999999999</v>
      </c>
      <c r="M1059" s="2">
        <v>2026</v>
      </c>
      <c r="N1059" s="2" t="s">
        <v>1132</v>
      </c>
    </row>
    <row r="1060" spans="1:14" x14ac:dyDescent="0.3">
      <c r="A1060" s="2" t="s">
        <v>14</v>
      </c>
      <c r="B1060" s="2" t="s">
        <v>15</v>
      </c>
      <c r="C1060" s="2" t="s">
        <v>16</v>
      </c>
      <c r="D1060" s="2" t="str">
        <f>("089330")</f>
        <v>089330</v>
      </c>
      <c r="E1060" s="2" t="str">
        <f>("622454893306")</f>
        <v>622454893306</v>
      </c>
      <c r="G1060" s="2" t="s">
        <v>1158</v>
      </c>
      <c r="H1060" s="5">
        <v>260.57</v>
      </c>
      <c r="I1060" s="2" t="s">
        <v>18</v>
      </c>
      <c r="J1060" s="3">
        <v>43013</v>
      </c>
      <c r="K1060" s="2">
        <v>1.7000000000000001E-2</v>
      </c>
      <c r="L1060" s="2">
        <v>3.6999999999999998E-2</v>
      </c>
      <c r="M1060" s="2">
        <v>15056</v>
      </c>
      <c r="N1060" s="2" t="s">
        <v>1159</v>
      </c>
    </row>
    <row r="1061" spans="1:14" x14ac:dyDescent="0.3">
      <c r="A1061" s="2" t="s">
        <v>14</v>
      </c>
      <c r="B1061" s="2" t="s">
        <v>15</v>
      </c>
      <c r="C1061" s="2" t="s">
        <v>16</v>
      </c>
      <c r="D1061" s="2" t="str">
        <f>("089331")</f>
        <v>089331</v>
      </c>
      <c r="E1061" s="2" t="str">
        <f>("622454893313")</f>
        <v>622454893313</v>
      </c>
      <c r="G1061" s="2" t="s">
        <v>1160</v>
      </c>
      <c r="H1061" s="5">
        <v>280.86</v>
      </c>
      <c r="I1061" s="2" t="s">
        <v>18</v>
      </c>
      <c r="J1061" s="3">
        <v>43013</v>
      </c>
      <c r="K1061" s="2">
        <v>1.6E-2</v>
      </c>
      <c r="L1061" s="2">
        <v>3.5000000000000003E-2</v>
      </c>
      <c r="M1061" s="2">
        <v>15056</v>
      </c>
      <c r="N1061" s="2" t="s">
        <v>1159</v>
      </c>
    </row>
    <row r="1062" spans="1:14" x14ac:dyDescent="0.3">
      <c r="A1062" s="2" t="s">
        <v>14</v>
      </c>
      <c r="B1062" s="2" t="s">
        <v>15</v>
      </c>
      <c r="C1062" s="2" t="s">
        <v>16</v>
      </c>
      <c r="D1062" s="2" t="str">
        <f>("089332")</f>
        <v>089332</v>
      </c>
      <c r="E1062" s="2" t="str">
        <f>("622454893320")</f>
        <v>622454893320</v>
      </c>
      <c r="G1062" s="2" t="s">
        <v>1161</v>
      </c>
      <c r="H1062" s="5">
        <v>289.5</v>
      </c>
      <c r="I1062" s="2" t="s">
        <v>18</v>
      </c>
      <c r="J1062" s="3">
        <v>43013</v>
      </c>
      <c r="K1062" s="2">
        <v>3.2000000000000001E-2</v>
      </c>
      <c r="L1062" s="2">
        <v>7.0999999999999994E-2</v>
      </c>
      <c r="M1062" s="2">
        <v>150106</v>
      </c>
      <c r="N1062" s="2" t="s">
        <v>1159</v>
      </c>
    </row>
    <row r="1063" spans="1:14" x14ac:dyDescent="0.3">
      <c r="A1063" s="2" t="s">
        <v>14</v>
      </c>
      <c r="B1063" s="2" t="s">
        <v>15</v>
      </c>
      <c r="C1063" s="2" t="s">
        <v>16</v>
      </c>
      <c r="D1063" s="2" t="str">
        <f>("089333")</f>
        <v>089333</v>
      </c>
      <c r="E1063" s="2" t="str">
        <f>("622454893337")</f>
        <v>622454893337</v>
      </c>
      <c r="G1063" s="2" t="s">
        <v>1162</v>
      </c>
      <c r="H1063" s="5">
        <v>327.02</v>
      </c>
      <c r="I1063" s="2" t="s">
        <v>18</v>
      </c>
      <c r="J1063" s="3">
        <v>43013</v>
      </c>
      <c r="K1063" s="2">
        <v>0.03</v>
      </c>
      <c r="L1063" s="2">
        <v>6.6000000000000003E-2</v>
      </c>
      <c r="M1063" s="2">
        <v>6045</v>
      </c>
      <c r="N1063" s="2" t="s">
        <v>1159</v>
      </c>
    </row>
    <row r="1064" spans="1:14" x14ac:dyDescent="0.3">
      <c r="A1064" s="2" t="s">
        <v>14</v>
      </c>
      <c r="B1064" s="2" t="s">
        <v>15</v>
      </c>
      <c r="C1064" s="2" t="s">
        <v>16</v>
      </c>
      <c r="D1064" s="2" t="str">
        <f>("089496")</f>
        <v>089496</v>
      </c>
      <c r="E1064" s="2" t="str">
        <f>("622454334342")</f>
        <v>622454334342</v>
      </c>
      <c r="G1064" s="2" t="s">
        <v>1163</v>
      </c>
      <c r="H1064" s="5">
        <v>1702.78</v>
      </c>
      <c r="I1064" s="2" t="s">
        <v>18</v>
      </c>
      <c r="J1064" s="3">
        <v>43013</v>
      </c>
      <c r="K1064" s="2">
        <v>0.32100000000000001</v>
      </c>
      <c r="L1064" s="2">
        <v>0.70799999999999996</v>
      </c>
      <c r="M1064" s="2">
        <v>2517</v>
      </c>
      <c r="N1064" s="2" t="s">
        <v>1164</v>
      </c>
    </row>
    <row r="1065" spans="1:14" x14ac:dyDescent="0.3">
      <c r="A1065" s="2" t="s">
        <v>14</v>
      </c>
      <c r="B1065" s="2" t="s">
        <v>15</v>
      </c>
      <c r="C1065" s="2" t="s">
        <v>16</v>
      </c>
      <c r="D1065" s="2" t="str">
        <f>("089049")</f>
        <v>089049</v>
      </c>
      <c r="E1065" s="2" t="str">
        <f>("622454333505")</f>
        <v>622454333505</v>
      </c>
      <c r="G1065" s="2" t="s">
        <v>1165</v>
      </c>
      <c r="H1065" s="5">
        <v>1702.78</v>
      </c>
      <c r="I1065" s="2" t="s">
        <v>18</v>
      </c>
      <c r="J1065" s="3">
        <v>43013</v>
      </c>
      <c r="K1065" s="2">
        <v>0.32800000000000001</v>
      </c>
      <c r="L1065" s="2">
        <v>0.72299999999999998</v>
      </c>
      <c r="M1065" s="2">
        <v>2517</v>
      </c>
      <c r="N1065" s="2" t="s">
        <v>1164</v>
      </c>
    </row>
    <row r="1066" spans="1:14" x14ac:dyDescent="0.3">
      <c r="A1066" s="2" t="s">
        <v>14</v>
      </c>
      <c r="B1066" s="2" t="s">
        <v>15</v>
      </c>
      <c r="C1066" s="2" t="s">
        <v>16</v>
      </c>
      <c r="D1066" s="2" t="str">
        <f>("089052")</f>
        <v>089052</v>
      </c>
      <c r="E1066" s="2" t="str">
        <f>("622454333543")</f>
        <v>622454333543</v>
      </c>
      <c r="G1066" s="2" t="s">
        <v>1166</v>
      </c>
      <c r="H1066" s="5">
        <v>1702.78</v>
      </c>
      <c r="I1066" s="2" t="s">
        <v>18</v>
      </c>
      <c r="J1066" s="3">
        <v>43013</v>
      </c>
      <c r="K1066" s="2">
        <v>0.32600000000000001</v>
      </c>
      <c r="L1066" s="2">
        <v>0.71899999999999997</v>
      </c>
      <c r="M1066" s="2">
        <v>2517</v>
      </c>
      <c r="N1066" s="2" t="s">
        <v>1164</v>
      </c>
    </row>
    <row r="1067" spans="1:14" x14ac:dyDescent="0.3">
      <c r="A1067" s="2" t="s">
        <v>14</v>
      </c>
      <c r="B1067" s="2" t="s">
        <v>15</v>
      </c>
      <c r="C1067" s="2" t="s">
        <v>16</v>
      </c>
      <c r="D1067" s="2" t="str">
        <f>("089065")</f>
        <v>089065</v>
      </c>
      <c r="E1067" s="2" t="str">
        <f>("622454380486")</f>
        <v>622454380486</v>
      </c>
      <c r="G1067" s="2" t="s">
        <v>1167</v>
      </c>
      <c r="H1067" s="5">
        <v>1702.78</v>
      </c>
      <c r="I1067" s="2" t="s">
        <v>18</v>
      </c>
      <c r="J1067" s="3">
        <v>43013</v>
      </c>
      <c r="K1067" s="2">
        <v>0.32</v>
      </c>
      <c r="L1067" s="2">
        <v>0.70499999999999996</v>
      </c>
      <c r="M1067" s="2">
        <v>2517</v>
      </c>
      <c r="N1067" s="2" t="s">
        <v>1164</v>
      </c>
    </row>
    <row r="1068" spans="1:14" x14ac:dyDescent="0.3">
      <c r="A1068" s="2" t="s">
        <v>14</v>
      </c>
      <c r="B1068" s="2" t="s">
        <v>15</v>
      </c>
      <c r="C1068" s="2" t="s">
        <v>16</v>
      </c>
      <c r="D1068" s="2" t="str">
        <f>("089054")</f>
        <v>089054</v>
      </c>
      <c r="E1068" s="2" t="str">
        <f>("622454333703")</f>
        <v>622454333703</v>
      </c>
      <c r="G1068" s="2" t="s">
        <v>1168</v>
      </c>
      <c r="H1068" s="5">
        <v>669.52</v>
      </c>
      <c r="I1068" s="2" t="s">
        <v>18</v>
      </c>
      <c r="J1068" s="3">
        <v>43013</v>
      </c>
      <c r="K1068" s="2">
        <v>0.152</v>
      </c>
      <c r="L1068" s="2">
        <v>0.33500000000000002</v>
      </c>
      <c r="M1068" s="2">
        <v>7025</v>
      </c>
      <c r="N1068" s="2" t="s">
        <v>1164</v>
      </c>
    </row>
    <row r="1069" spans="1:14" x14ac:dyDescent="0.3">
      <c r="A1069" s="2" t="s">
        <v>14</v>
      </c>
      <c r="B1069" s="2" t="s">
        <v>15</v>
      </c>
      <c r="C1069" s="2" t="s">
        <v>16</v>
      </c>
      <c r="D1069" s="2" t="str">
        <f>("089053")</f>
        <v>089053</v>
      </c>
      <c r="E1069" s="2" t="str">
        <f>("622454333550")</f>
        <v>622454333550</v>
      </c>
      <c r="G1069" s="2" t="s">
        <v>1169</v>
      </c>
      <c r="H1069" s="5">
        <v>679.89</v>
      </c>
      <c r="I1069" s="2" t="s">
        <v>18</v>
      </c>
      <c r="J1069" s="3">
        <v>43013</v>
      </c>
      <c r="K1069" s="2">
        <v>0.158</v>
      </c>
      <c r="L1069" s="2">
        <v>0.34799999999999998</v>
      </c>
      <c r="M1069" s="2">
        <v>7025</v>
      </c>
      <c r="N1069" s="2" t="s">
        <v>1164</v>
      </c>
    </row>
    <row r="1070" spans="1:14" x14ac:dyDescent="0.3">
      <c r="A1070" s="2" t="s">
        <v>14</v>
      </c>
      <c r="B1070" s="2" t="s">
        <v>15</v>
      </c>
      <c r="C1070" s="2" t="s">
        <v>16</v>
      </c>
      <c r="D1070" s="2" t="str">
        <f>("089149")</f>
        <v>089149</v>
      </c>
      <c r="E1070" s="2" t="str">
        <f>("622454344143")</f>
        <v>622454344143</v>
      </c>
      <c r="G1070" s="2" t="s">
        <v>1170</v>
      </c>
      <c r="H1070" s="5">
        <v>224.25</v>
      </c>
      <c r="I1070" s="2" t="s">
        <v>18</v>
      </c>
      <c r="J1070" s="3">
        <v>43013</v>
      </c>
      <c r="K1070" s="2">
        <v>0.06</v>
      </c>
      <c r="L1070" s="2">
        <v>0.13200000000000001</v>
      </c>
      <c r="N1070" s="2" t="s">
        <v>1171</v>
      </c>
    </row>
    <row r="1071" spans="1:14" x14ac:dyDescent="0.3">
      <c r="A1071" s="2" t="s">
        <v>14</v>
      </c>
      <c r="B1071" s="2" t="s">
        <v>15</v>
      </c>
      <c r="C1071" s="2" t="s">
        <v>16</v>
      </c>
      <c r="D1071" s="2" t="str">
        <f>("089233")</f>
        <v>089233</v>
      </c>
      <c r="E1071" s="2" t="str">
        <f>("622454019584")</f>
        <v>622454019584</v>
      </c>
      <c r="G1071" s="2" t="s">
        <v>1172</v>
      </c>
      <c r="H1071" s="5">
        <v>325.73</v>
      </c>
      <c r="I1071" s="2" t="s">
        <v>18</v>
      </c>
      <c r="J1071" s="3">
        <v>43013</v>
      </c>
      <c r="K1071" s="2">
        <v>0.03</v>
      </c>
      <c r="L1071" s="2">
        <v>6.6000000000000003E-2</v>
      </c>
      <c r="M1071" s="2">
        <v>5042</v>
      </c>
      <c r="N1071" s="2" t="s">
        <v>1159</v>
      </c>
    </row>
    <row r="1072" spans="1:14" x14ac:dyDescent="0.3">
      <c r="A1072" s="2" t="s">
        <v>14</v>
      </c>
      <c r="B1072" s="2" t="s">
        <v>15</v>
      </c>
      <c r="C1072" s="2" t="s">
        <v>16</v>
      </c>
      <c r="D1072" s="2" t="str">
        <f>("089234")</f>
        <v>089234</v>
      </c>
      <c r="E1072" s="2" t="str">
        <f>("622454019447")</f>
        <v>622454019447</v>
      </c>
      <c r="G1072" s="2" t="s">
        <v>1173</v>
      </c>
      <c r="H1072" s="5">
        <v>351.12</v>
      </c>
      <c r="I1072" s="2" t="s">
        <v>18</v>
      </c>
      <c r="J1072" s="3">
        <v>43013</v>
      </c>
      <c r="K1072" s="2">
        <v>0.03</v>
      </c>
      <c r="L1072" s="2">
        <v>6.6000000000000003E-2</v>
      </c>
      <c r="M1072" s="2">
        <v>5042</v>
      </c>
      <c r="N1072" s="2" t="s">
        <v>1159</v>
      </c>
    </row>
    <row r="1073" spans="1:14" x14ac:dyDescent="0.3">
      <c r="A1073" s="2" t="s">
        <v>14</v>
      </c>
      <c r="B1073" s="2" t="s">
        <v>15</v>
      </c>
      <c r="C1073" s="2" t="s">
        <v>16</v>
      </c>
      <c r="D1073" s="2" t="str">
        <f>("089235")</f>
        <v>089235</v>
      </c>
      <c r="E1073" s="2" t="str">
        <f>("622454019560")</f>
        <v>622454019560</v>
      </c>
      <c r="G1073" s="2" t="s">
        <v>1174</v>
      </c>
      <c r="H1073" s="5">
        <v>362.02</v>
      </c>
      <c r="I1073" s="2" t="s">
        <v>18</v>
      </c>
      <c r="J1073" s="3">
        <v>43013</v>
      </c>
      <c r="K1073" s="2">
        <v>0.03</v>
      </c>
      <c r="L1073" s="2">
        <v>6.6000000000000003E-2</v>
      </c>
      <c r="M1073" s="2">
        <v>5042</v>
      </c>
      <c r="N1073" s="2" t="s">
        <v>1159</v>
      </c>
    </row>
    <row r="1074" spans="1:14" x14ac:dyDescent="0.3">
      <c r="A1074" s="2" t="s">
        <v>14</v>
      </c>
      <c r="B1074" s="2" t="s">
        <v>15</v>
      </c>
      <c r="C1074" s="2" t="s">
        <v>16</v>
      </c>
      <c r="D1074" s="2" t="str">
        <f>("089236")</f>
        <v>089236</v>
      </c>
      <c r="E1074" s="2" t="str">
        <f>("622454020405")</f>
        <v>622454020405</v>
      </c>
      <c r="G1074" s="2" t="s">
        <v>1175</v>
      </c>
      <c r="H1074" s="5">
        <v>408.77</v>
      </c>
      <c r="I1074" s="2" t="s">
        <v>18</v>
      </c>
      <c r="J1074" s="3">
        <v>43013</v>
      </c>
      <c r="K1074" s="2">
        <v>5.0999999999999997E-2</v>
      </c>
      <c r="L1074" s="2">
        <v>0.112</v>
      </c>
      <c r="M1074" s="2">
        <v>5071</v>
      </c>
      <c r="N1074" s="2" t="s">
        <v>1159</v>
      </c>
    </row>
    <row r="1075" spans="1:14" x14ac:dyDescent="0.3">
      <c r="A1075" s="2" t="s">
        <v>14</v>
      </c>
      <c r="B1075" s="2" t="s">
        <v>15</v>
      </c>
      <c r="C1075" s="2" t="s">
        <v>16</v>
      </c>
      <c r="D1075" s="2" t="str">
        <f>("089238")</f>
        <v>089238</v>
      </c>
      <c r="E1075" s="2" t="str">
        <f>("622454203402")</f>
        <v>622454203402</v>
      </c>
      <c r="G1075" s="2" t="s">
        <v>1176</v>
      </c>
      <c r="H1075" s="5">
        <v>434.06</v>
      </c>
      <c r="I1075" s="2" t="s">
        <v>18</v>
      </c>
      <c r="J1075" s="3">
        <v>43013</v>
      </c>
      <c r="K1075" s="2">
        <v>5.1999999999999998E-2</v>
      </c>
      <c r="L1075" s="2">
        <v>0.115</v>
      </c>
      <c r="M1075" s="2">
        <v>5071</v>
      </c>
      <c r="N1075" s="2" t="s">
        <v>1159</v>
      </c>
    </row>
    <row r="1076" spans="1:14" x14ac:dyDescent="0.3">
      <c r="A1076" s="2" t="s">
        <v>14</v>
      </c>
      <c r="B1076" s="2" t="s">
        <v>15</v>
      </c>
      <c r="C1076" s="2" t="s">
        <v>16</v>
      </c>
      <c r="D1076" s="2" t="str">
        <f>("089031")</f>
        <v>089031</v>
      </c>
      <c r="E1076" s="2" t="str">
        <f>("622454315532")</f>
        <v>622454315532</v>
      </c>
      <c r="G1076" s="2" t="s">
        <v>1177</v>
      </c>
      <c r="H1076" s="5">
        <v>898.96</v>
      </c>
      <c r="I1076" s="2" t="s">
        <v>18</v>
      </c>
      <c r="J1076" s="3">
        <v>43013</v>
      </c>
      <c r="K1076" s="2">
        <v>0.05</v>
      </c>
      <c r="L1076" s="2">
        <v>0.11</v>
      </c>
      <c r="M1076" s="2">
        <v>7584</v>
      </c>
      <c r="N1076" s="2" t="s">
        <v>1178</v>
      </c>
    </row>
    <row r="1077" spans="1:14" x14ac:dyDescent="0.3">
      <c r="A1077" s="2" t="s">
        <v>14</v>
      </c>
      <c r="B1077" s="2" t="s">
        <v>15</v>
      </c>
      <c r="C1077" s="2" t="s">
        <v>16</v>
      </c>
      <c r="D1077" s="2" t="str">
        <f>("089026")</f>
        <v>089026</v>
      </c>
      <c r="E1077" s="2" t="str">
        <f>("622454315525")</f>
        <v>622454315525</v>
      </c>
      <c r="G1077" s="2" t="s">
        <v>1179</v>
      </c>
      <c r="H1077" s="5">
        <v>968.95</v>
      </c>
      <c r="I1077" s="2" t="s">
        <v>18</v>
      </c>
      <c r="J1077" s="3">
        <v>43013</v>
      </c>
      <c r="K1077" s="2">
        <v>9.7000000000000003E-2</v>
      </c>
      <c r="L1077" s="2">
        <v>0.214</v>
      </c>
      <c r="M1077" s="2">
        <v>7584</v>
      </c>
      <c r="N1077" s="2" t="s">
        <v>1178</v>
      </c>
    </row>
    <row r="1078" spans="1:14" x14ac:dyDescent="0.3">
      <c r="A1078" s="2" t="s">
        <v>14</v>
      </c>
      <c r="B1078" s="2" t="s">
        <v>15</v>
      </c>
      <c r="C1078" s="2" t="s">
        <v>16</v>
      </c>
      <c r="D1078" s="2" t="str">
        <f>("089025")</f>
        <v>089025</v>
      </c>
      <c r="E1078" s="2" t="str">
        <f>("622454315518")</f>
        <v>622454315518</v>
      </c>
      <c r="G1078" s="2" t="s">
        <v>1180</v>
      </c>
      <c r="H1078" s="5">
        <v>998.81</v>
      </c>
      <c r="I1078" s="2" t="s">
        <v>18</v>
      </c>
      <c r="J1078" s="3">
        <v>43013</v>
      </c>
      <c r="K1078" s="2">
        <v>0.06</v>
      </c>
      <c r="L1078" s="2">
        <v>0.13200000000000001</v>
      </c>
      <c r="M1078" s="2">
        <v>5072</v>
      </c>
      <c r="N1078" s="2" t="s">
        <v>1178</v>
      </c>
    </row>
    <row r="1079" spans="1:14" x14ac:dyDescent="0.3">
      <c r="A1079" s="2" t="s">
        <v>14</v>
      </c>
      <c r="B1079" s="2" t="s">
        <v>15</v>
      </c>
      <c r="C1079" s="2" t="s">
        <v>16</v>
      </c>
      <c r="D1079" s="2" t="str">
        <f>("089060")</f>
        <v>089060</v>
      </c>
      <c r="E1079" s="2" t="str">
        <f>("622454334557")</f>
        <v>622454334557</v>
      </c>
      <c r="G1079" s="2" t="s">
        <v>1181</v>
      </c>
      <c r="H1079" s="5">
        <v>1470</v>
      </c>
      <c r="I1079" s="2" t="s">
        <v>18</v>
      </c>
      <c r="J1079" s="3">
        <v>43013</v>
      </c>
      <c r="K1079" s="2">
        <v>4.1000000000000002E-2</v>
      </c>
      <c r="L1079" s="2">
        <v>0.09</v>
      </c>
      <c r="M1079" s="2">
        <v>4037</v>
      </c>
      <c r="N1079" s="2" t="s">
        <v>1182</v>
      </c>
    </row>
    <row r="1080" spans="1:14" x14ac:dyDescent="0.3">
      <c r="A1080" s="2" t="s">
        <v>14</v>
      </c>
      <c r="B1080" s="2" t="s">
        <v>15</v>
      </c>
      <c r="C1080" s="2" t="s">
        <v>16</v>
      </c>
      <c r="D1080" s="2" t="str">
        <f>("089059")</f>
        <v>089059</v>
      </c>
      <c r="E1080" s="2" t="str">
        <f>("622454334540")</f>
        <v>622454334540</v>
      </c>
      <c r="G1080" s="2" t="s">
        <v>1183</v>
      </c>
      <c r="H1080" s="5">
        <v>1796.68</v>
      </c>
      <c r="I1080" s="2" t="s">
        <v>18</v>
      </c>
      <c r="J1080" s="3">
        <v>43013</v>
      </c>
      <c r="K1080" s="2">
        <v>4.8000000000000001E-2</v>
      </c>
      <c r="L1080" s="2">
        <v>0.106</v>
      </c>
      <c r="M1080" s="2">
        <v>3542</v>
      </c>
      <c r="N1080" s="2" t="s">
        <v>1182</v>
      </c>
    </row>
    <row r="1081" spans="1:14" x14ac:dyDescent="0.3">
      <c r="A1081" s="2" t="s">
        <v>14</v>
      </c>
      <c r="B1081" s="2" t="s">
        <v>15</v>
      </c>
      <c r="C1081" s="2" t="s">
        <v>16</v>
      </c>
      <c r="D1081" s="2" t="str">
        <f>("089058")</f>
        <v>089058</v>
      </c>
      <c r="E1081" s="2" t="str">
        <f>("622454334533")</f>
        <v>622454334533</v>
      </c>
      <c r="G1081" s="2" t="s">
        <v>1184</v>
      </c>
      <c r="H1081" s="5">
        <v>2123.34</v>
      </c>
      <c r="I1081" s="2" t="s">
        <v>18</v>
      </c>
      <c r="J1081" s="3">
        <v>43013</v>
      </c>
      <c r="K1081" s="2">
        <v>5.5E-2</v>
      </c>
      <c r="L1081" s="2">
        <v>0.121</v>
      </c>
      <c r="M1081" s="2">
        <v>2540</v>
      </c>
      <c r="N1081" s="2" t="s">
        <v>1182</v>
      </c>
    </row>
    <row r="1082" spans="1:14" x14ac:dyDescent="0.3">
      <c r="A1082" s="2" t="s">
        <v>14</v>
      </c>
      <c r="B1082" s="2" t="s">
        <v>15</v>
      </c>
      <c r="C1082" s="2" t="s">
        <v>16</v>
      </c>
      <c r="D1082" s="2" t="str">
        <f>("089055")</f>
        <v>089055</v>
      </c>
      <c r="E1082" s="2" t="str">
        <f>("622454334502")</f>
        <v>622454334502</v>
      </c>
      <c r="G1082" s="2" t="s">
        <v>1185</v>
      </c>
      <c r="H1082" s="5">
        <v>1470</v>
      </c>
      <c r="I1082" s="2" t="s">
        <v>18</v>
      </c>
      <c r="J1082" s="3">
        <v>43013</v>
      </c>
      <c r="K1082" s="2">
        <v>4.7E-2</v>
      </c>
      <c r="L1082" s="2">
        <v>0.104</v>
      </c>
      <c r="M1082" s="2">
        <v>4036</v>
      </c>
      <c r="N1082" s="2" t="s">
        <v>1186</v>
      </c>
    </row>
    <row r="1083" spans="1:14" x14ac:dyDescent="0.3">
      <c r="A1083" s="2" t="s">
        <v>14</v>
      </c>
      <c r="B1083" s="2" t="s">
        <v>15</v>
      </c>
      <c r="C1083" s="2" t="s">
        <v>16</v>
      </c>
      <c r="D1083" s="2" t="str">
        <f>("089056")</f>
        <v>089056</v>
      </c>
      <c r="E1083" s="2" t="str">
        <f>("622454334519")</f>
        <v>622454334519</v>
      </c>
      <c r="G1083" s="2" t="s">
        <v>1187</v>
      </c>
      <c r="H1083" s="5">
        <v>1796.68</v>
      </c>
      <c r="I1083" s="2" t="s">
        <v>18</v>
      </c>
      <c r="J1083" s="3">
        <v>43013</v>
      </c>
      <c r="K1083" s="2">
        <v>5.0999999999999997E-2</v>
      </c>
      <c r="L1083" s="2">
        <v>0.112</v>
      </c>
      <c r="M1083" s="2">
        <v>3542</v>
      </c>
      <c r="N1083" s="2" t="s">
        <v>1186</v>
      </c>
    </row>
    <row r="1084" spans="1:14" x14ac:dyDescent="0.3">
      <c r="A1084" s="2" t="s">
        <v>14</v>
      </c>
      <c r="B1084" s="2" t="s">
        <v>15</v>
      </c>
      <c r="C1084" s="2" t="s">
        <v>16</v>
      </c>
      <c r="D1084" s="2" t="str">
        <f>("089057")</f>
        <v>089057</v>
      </c>
      <c r="E1084" s="2" t="str">
        <f>("622454334526")</f>
        <v>622454334526</v>
      </c>
      <c r="G1084" s="2" t="s">
        <v>1188</v>
      </c>
      <c r="H1084" s="5">
        <v>2123.34</v>
      </c>
      <c r="I1084" s="2" t="s">
        <v>18</v>
      </c>
      <c r="J1084" s="3">
        <v>43013</v>
      </c>
      <c r="K1084" s="2">
        <v>5.2999999999999999E-2</v>
      </c>
      <c r="L1084" s="2">
        <v>0.11700000000000001</v>
      </c>
      <c r="M1084" s="2">
        <v>2532</v>
      </c>
      <c r="N1084" s="2" t="s">
        <v>1186</v>
      </c>
    </row>
    <row r="1085" spans="1:14" x14ac:dyDescent="0.3">
      <c r="A1085" s="2" t="s">
        <v>14</v>
      </c>
      <c r="B1085" s="2" t="s">
        <v>15</v>
      </c>
      <c r="C1085" s="2" t="s">
        <v>16</v>
      </c>
      <c r="D1085" s="2" t="str">
        <f>("089000")</f>
        <v>089000</v>
      </c>
      <c r="E1085" s="2" t="str">
        <f>("622454890008")</f>
        <v>622454890008</v>
      </c>
      <c r="G1085" s="2" t="s">
        <v>1189</v>
      </c>
      <c r="H1085" s="5">
        <v>177.2</v>
      </c>
      <c r="I1085" s="2" t="s">
        <v>18</v>
      </c>
      <c r="J1085" s="3">
        <v>43013</v>
      </c>
      <c r="K1085" s="2">
        <v>1.2999999999999999E-2</v>
      </c>
      <c r="L1085" s="2">
        <v>2.9000000000000001E-2</v>
      </c>
      <c r="M1085" s="2">
        <v>1503</v>
      </c>
      <c r="N1085" s="2" t="s">
        <v>1190</v>
      </c>
    </row>
    <row r="1086" spans="1:14" x14ac:dyDescent="0.3">
      <c r="A1086" s="2" t="s">
        <v>14</v>
      </c>
      <c r="B1086" s="2" t="s">
        <v>15</v>
      </c>
      <c r="C1086" s="2" t="s">
        <v>16</v>
      </c>
      <c r="D1086" s="2" t="str">
        <f>("089001")</f>
        <v>089001</v>
      </c>
      <c r="E1086" s="2" t="str">
        <f>("622454890015")</f>
        <v>622454890015</v>
      </c>
      <c r="G1086" s="2" t="s">
        <v>1191</v>
      </c>
      <c r="H1086" s="5">
        <v>230.64</v>
      </c>
      <c r="I1086" s="2" t="s">
        <v>18</v>
      </c>
      <c r="J1086" s="3">
        <v>43013</v>
      </c>
      <c r="K1086" s="2">
        <v>1.4999999999999999E-2</v>
      </c>
      <c r="L1086" s="2">
        <v>3.3000000000000002E-2</v>
      </c>
      <c r="M1086" s="2">
        <v>1003</v>
      </c>
      <c r="N1086" s="2" t="s">
        <v>1190</v>
      </c>
    </row>
    <row r="1087" spans="1:14" x14ac:dyDescent="0.3">
      <c r="A1087" s="2" t="s">
        <v>14</v>
      </c>
      <c r="B1087" s="2" t="s">
        <v>15</v>
      </c>
      <c r="C1087" s="2" t="s">
        <v>16</v>
      </c>
      <c r="D1087" s="2" t="str">
        <f>("089002")</f>
        <v>089002</v>
      </c>
      <c r="E1087" s="2" t="str">
        <f>("622454890022")</f>
        <v>622454890022</v>
      </c>
      <c r="G1087" s="2" t="s">
        <v>1192</v>
      </c>
      <c r="H1087" s="5">
        <v>404.36</v>
      </c>
      <c r="I1087" s="2" t="s">
        <v>18</v>
      </c>
      <c r="J1087" s="3">
        <v>43013</v>
      </c>
      <c r="K1087" s="2">
        <v>0.02</v>
      </c>
      <c r="L1087" s="2">
        <v>4.3999999999999997E-2</v>
      </c>
      <c r="M1087" s="2">
        <v>502</v>
      </c>
      <c r="N1087" s="2" t="s">
        <v>1190</v>
      </c>
    </row>
    <row r="1088" spans="1:14" x14ac:dyDescent="0.3">
      <c r="A1088" s="2" t="s">
        <v>14</v>
      </c>
      <c r="B1088" s="2" t="s">
        <v>15</v>
      </c>
      <c r="C1088" s="2" t="s">
        <v>16</v>
      </c>
      <c r="D1088" s="2" t="str">
        <f>("189670")</f>
        <v>189670</v>
      </c>
      <c r="E1088" s="2" t="str">
        <f>("622454243507")</f>
        <v>622454243507</v>
      </c>
      <c r="G1088" s="2" t="s">
        <v>1193</v>
      </c>
      <c r="H1088" s="5">
        <v>449.29</v>
      </c>
      <c r="I1088" s="2" t="s">
        <v>18</v>
      </c>
      <c r="J1088" s="3">
        <v>43013</v>
      </c>
      <c r="K1088" s="2">
        <v>3.5000000000000003E-2</v>
      </c>
      <c r="L1088" s="2">
        <v>7.6999999999999999E-2</v>
      </c>
      <c r="M1088" s="2">
        <v>302</v>
      </c>
      <c r="N1088" s="2" t="s">
        <v>1190</v>
      </c>
    </row>
    <row r="1089" spans="1:14" x14ac:dyDescent="0.3">
      <c r="A1089" s="2" t="s">
        <v>14</v>
      </c>
      <c r="B1089" s="2" t="s">
        <v>15</v>
      </c>
      <c r="C1089" s="2" t="s">
        <v>16</v>
      </c>
      <c r="D1089" s="2" t="str">
        <f>("189671")</f>
        <v>189671</v>
      </c>
      <c r="E1089" s="2" t="str">
        <f>("622454243514")</f>
        <v>622454243514</v>
      </c>
      <c r="G1089" s="2" t="s">
        <v>1194</v>
      </c>
      <c r="H1089" s="5">
        <v>499.2</v>
      </c>
      <c r="I1089" s="2" t="s">
        <v>18</v>
      </c>
      <c r="J1089" s="3">
        <v>43013</v>
      </c>
      <c r="K1089" s="2">
        <v>3.2000000000000001E-2</v>
      </c>
      <c r="L1089" s="2">
        <v>7.0999999999999994E-2</v>
      </c>
      <c r="M1089" s="2">
        <v>302</v>
      </c>
      <c r="N1089" s="2" t="s">
        <v>1190</v>
      </c>
    </row>
    <row r="1090" spans="1:14" x14ac:dyDescent="0.3">
      <c r="A1090" s="2" t="s">
        <v>14</v>
      </c>
      <c r="B1090" s="2" t="s">
        <v>15</v>
      </c>
      <c r="C1090" s="2" t="s">
        <v>16</v>
      </c>
      <c r="D1090" s="2" t="str">
        <f>("189672")</f>
        <v>189672</v>
      </c>
      <c r="E1090" s="2" t="str">
        <f>("622454243521")</f>
        <v>622454243521</v>
      </c>
      <c r="G1090" s="2" t="s">
        <v>1195</v>
      </c>
      <c r="H1090" s="5">
        <v>554.67999999999995</v>
      </c>
      <c r="I1090" s="2" t="s">
        <v>18</v>
      </c>
      <c r="J1090" s="3">
        <v>43013</v>
      </c>
      <c r="K1090" s="2">
        <v>3.7999999999999999E-2</v>
      </c>
      <c r="L1090" s="2">
        <v>8.4000000000000005E-2</v>
      </c>
      <c r="M1090" s="2">
        <v>203</v>
      </c>
      <c r="N1090" s="2" t="s">
        <v>1190</v>
      </c>
    </row>
    <row r="1091" spans="1:14" x14ac:dyDescent="0.3">
      <c r="A1091" s="2" t="s">
        <v>14</v>
      </c>
      <c r="B1091" s="2" t="s">
        <v>15</v>
      </c>
      <c r="C1091" s="2" t="s">
        <v>16</v>
      </c>
      <c r="D1091" s="2" t="str">
        <f>("089006")</f>
        <v>089006</v>
      </c>
      <c r="E1091" s="2" t="str">
        <f>("622454890060")</f>
        <v>622454890060</v>
      </c>
      <c r="G1091" s="2" t="s">
        <v>1196</v>
      </c>
      <c r="H1091" s="5">
        <v>247.51</v>
      </c>
      <c r="I1091" s="2" t="s">
        <v>18</v>
      </c>
      <c r="J1091" s="3">
        <v>43013</v>
      </c>
      <c r="K1091" s="2">
        <v>1.2999999999999999E-2</v>
      </c>
      <c r="L1091" s="2">
        <v>2.9000000000000001E-2</v>
      </c>
      <c r="M1091" s="2">
        <v>1503</v>
      </c>
      <c r="N1091" s="2" t="s">
        <v>1190</v>
      </c>
    </row>
    <row r="1092" spans="1:14" x14ac:dyDescent="0.3">
      <c r="A1092" s="2" t="s">
        <v>14</v>
      </c>
      <c r="B1092" s="2" t="s">
        <v>15</v>
      </c>
      <c r="C1092" s="2" t="s">
        <v>16</v>
      </c>
      <c r="D1092" s="2" t="str">
        <f>("089007")</f>
        <v>089007</v>
      </c>
      <c r="E1092" s="2" t="str">
        <f>("622454890077")</f>
        <v>622454890077</v>
      </c>
      <c r="G1092" s="2" t="s">
        <v>1197</v>
      </c>
      <c r="H1092" s="5">
        <v>475.34</v>
      </c>
      <c r="I1092" s="2" t="s">
        <v>18</v>
      </c>
      <c r="J1092" s="3">
        <v>43013</v>
      </c>
      <c r="K1092" s="2">
        <v>2.1000000000000001E-2</v>
      </c>
      <c r="L1092" s="2">
        <v>4.5999999999999999E-2</v>
      </c>
      <c r="M1092" s="2">
        <v>1003</v>
      </c>
      <c r="N1092" s="2" t="s">
        <v>1190</v>
      </c>
    </row>
    <row r="1093" spans="1:14" x14ac:dyDescent="0.3">
      <c r="A1093" s="2" t="s">
        <v>14</v>
      </c>
      <c r="B1093" s="2" t="s">
        <v>15</v>
      </c>
      <c r="C1093" s="2" t="s">
        <v>16</v>
      </c>
      <c r="D1093" s="2" t="str">
        <f>("089008")</f>
        <v>089008</v>
      </c>
      <c r="E1093" s="2" t="str">
        <f>("622454890084")</f>
        <v>622454890084</v>
      </c>
      <c r="G1093" s="2" t="s">
        <v>1198</v>
      </c>
      <c r="H1093" s="5">
        <v>716.95</v>
      </c>
      <c r="I1093" s="2" t="s">
        <v>18</v>
      </c>
      <c r="J1093" s="3">
        <v>43013</v>
      </c>
      <c r="K1093" s="2">
        <v>0.03</v>
      </c>
      <c r="L1093" s="2">
        <v>6.6000000000000003E-2</v>
      </c>
      <c r="M1093" s="2">
        <v>502</v>
      </c>
      <c r="N1093" s="2" t="s">
        <v>1190</v>
      </c>
    </row>
    <row r="1094" spans="1:14" x14ac:dyDescent="0.3">
      <c r="A1094" s="2" t="s">
        <v>14</v>
      </c>
      <c r="B1094" s="2" t="s">
        <v>15</v>
      </c>
      <c r="C1094" s="2" t="s">
        <v>16</v>
      </c>
      <c r="D1094" s="2" t="str">
        <f>("189680")</f>
        <v>189680</v>
      </c>
      <c r="E1094" s="2" t="str">
        <f>("622454243538")</f>
        <v>622454243538</v>
      </c>
      <c r="G1094" s="2" t="s">
        <v>1199</v>
      </c>
      <c r="H1094" s="5">
        <v>796.62</v>
      </c>
      <c r="I1094" s="2" t="s">
        <v>18</v>
      </c>
      <c r="J1094" s="3">
        <v>43013</v>
      </c>
      <c r="K1094" s="2">
        <v>4.2000000000000003E-2</v>
      </c>
      <c r="L1094" s="2">
        <v>9.2999999999999999E-2</v>
      </c>
      <c r="M1094" s="2">
        <v>302</v>
      </c>
      <c r="N1094" s="2" t="s">
        <v>1190</v>
      </c>
    </row>
    <row r="1095" spans="1:14" x14ac:dyDescent="0.3">
      <c r="A1095" s="2" t="s">
        <v>14</v>
      </c>
      <c r="B1095" s="2" t="s">
        <v>15</v>
      </c>
      <c r="C1095" s="2" t="s">
        <v>16</v>
      </c>
      <c r="D1095" s="2" t="str">
        <f>("189681")</f>
        <v>189681</v>
      </c>
      <c r="E1095" s="2" t="str">
        <f>("622454243545")</f>
        <v>622454243545</v>
      </c>
      <c r="G1095" s="2" t="s">
        <v>1200</v>
      </c>
      <c r="H1095" s="5">
        <v>885.12</v>
      </c>
      <c r="I1095" s="2" t="s">
        <v>18</v>
      </c>
      <c r="J1095" s="3">
        <v>43013</v>
      </c>
      <c r="K1095" s="2">
        <v>4.4999999999999998E-2</v>
      </c>
      <c r="L1095" s="2">
        <v>9.9000000000000005E-2</v>
      </c>
      <c r="M1095" s="2">
        <v>302</v>
      </c>
      <c r="N1095" s="2" t="s">
        <v>1190</v>
      </c>
    </row>
    <row r="1096" spans="1:14" x14ac:dyDescent="0.3">
      <c r="A1096" s="2" t="s">
        <v>14</v>
      </c>
      <c r="B1096" s="2" t="s">
        <v>15</v>
      </c>
      <c r="C1096" s="2" t="s">
        <v>16</v>
      </c>
      <c r="D1096" s="2" t="str">
        <f>("189682")</f>
        <v>189682</v>
      </c>
      <c r="E1096" s="2" t="str">
        <f>("622454243552")</f>
        <v>622454243552</v>
      </c>
      <c r="G1096" s="2" t="s">
        <v>1201</v>
      </c>
      <c r="H1096" s="5">
        <v>983.48</v>
      </c>
      <c r="I1096" s="2" t="s">
        <v>18</v>
      </c>
      <c r="J1096" s="3">
        <v>43013</v>
      </c>
      <c r="K1096" s="2">
        <v>5.8000000000000003E-2</v>
      </c>
      <c r="L1096" s="2">
        <v>0.128</v>
      </c>
      <c r="M1096" s="2">
        <v>203</v>
      </c>
      <c r="N1096" s="2" t="s">
        <v>1190</v>
      </c>
    </row>
    <row r="1097" spans="1:14" x14ac:dyDescent="0.3">
      <c r="A1097" s="2" t="s">
        <v>14</v>
      </c>
      <c r="B1097" s="2" t="s">
        <v>15</v>
      </c>
      <c r="C1097" s="2" t="s">
        <v>16</v>
      </c>
      <c r="D1097" s="2" t="str">
        <f>("089146")</f>
        <v>089146</v>
      </c>
      <c r="E1097" s="2" t="str">
        <f>("622454891463")</f>
        <v>622454891463</v>
      </c>
      <c r="G1097" s="2" t="s">
        <v>1202</v>
      </c>
      <c r="H1097" s="5">
        <v>160.32</v>
      </c>
      <c r="I1097" s="2" t="s">
        <v>18</v>
      </c>
      <c r="J1097" s="3">
        <v>43013</v>
      </c>
      <c r="K1097" s="2">
        <v>0.01</v>
      </c>
      <c r="L1097" s="2">
        <v>2.1999999999999999E-2</v>
      </c>
      <c r="M1097" s="2">
        <v>1253</v>
      </c>
      <c r="N1097" s="2" t="s">
        <v>1190</v>
      </c>
    </row>
    <row r="1098" spans="1:14" x14ac:dyDescent="0.3">
      <c r="A1098" s="2" t="s">
        <v>14</v>
      </c>
      <c r="B1098" s="2" t="s">
        <v>15</v>
      </c>
      <c r="C1098" s="2" t="s">
        <v>16</v>
      </c>
      <c r="D1098" s="2" t="str">
        <f>("089147")</f>
        <v>089147</v>
      </c>
      <c r="E1098" s="2" t="str">
        <f>("622454891470")</f>
        <v>622454891470</v>
      </c>
      <c r="G1098" s="2" t="s">
        <v>1203</v>
      </c>
      <c r="H1098" s="5">
        <v>295.33</v>
      </c>
      <c r="I1098" s="2" t="s">
        <v>18</v>
      </c>
      <c r="J1098" s="3">
        <v>43013</v>
      </c>
      <c r="K1098" s="2">
        <v>1.4999999999999999E-2</v>
      </c>
      <c r="L1098" s="2">
        <v>3.3000000000000002E-2</v>
      </c>
      <c r="M1098" s="2">
        <v>1003</v>
      </c>
      <c r="N1098" s="2" t="s">
        <v>1190</v>
      </c>
    </row>
    <row r="1099" spans="1:14" x14ac:dyDescent="0.3">
      <c r="A1099" s="2" t="s">
        <v>14</v>
      </c>
      <c r="B1099" s="2" t="s">
        <v>15</v>
      </c>
      <c r="C1099" s="2" t="s">
        <v>16</v>
      </c>
      <c r="D1099" s="2" t="str">
        <f>("089148")</f>
        <v>089148</v>
      </c>
      <c r="E1099" s="2" t="str">
        <f>("622454891487")</f>
        <v>622454891487</v>
      </c>
      <c r="G1099" s="2" t="s">
        <v>1204</v>
      </c>
      <c r="H1099" s="5">
        <v>473.19</v>
      </c>
      <c r="I1099" s="2" t="s">
        <v>18</v>
      </c>
      <c r="J1099" s="3">
        <v>43013</v>
      </c>
      <c r="K1099" s="2">
        <v>0.02</v>
      </c>
      <c r="L1099" s="2">
        <v>4.3999999999999997E-2</v>
      </c>
      <c r="M1099" s="2">
        <v>502</v>
      </c>
      <c r="N1099" s="2" t="s">
        <v>1190</v>
      </c>
    </row>
    <row r="1100" spans="1:14" x14ac:dyDescent="0.3">
      <c r="A1100" s="2" t="s">
        <v>14</v>
      </c>
      <c r="B1100" s="2" t="s">
        <v>15</v>
      </c>
      <c r="C1100" s="2" t="s">
        <v>16</v>
      </c>
      <c r="D1100" s="2" t="str">
        <f>("089012")</f>
        <v>089012</v>
      </c>
      <c r="E1100" s="2" t="str">
        <f>("622454890121")</f>
        <v>622454890121</v>
      </c>
      <c r="G1100" s="2" t="s">
        <v>1205</v>
      </c>
      <c r="H1100" s="5">
        <v>300.95999999999998</v>
      </c>
      <c r="I1100" s="2" t="s">
        <v>18</v>
      </c>
      <c r="J1100" s="3">
        <v>43013</v>
      </c>
      <c r="K1100" s="2">
        <v>1.9E-2</v>
      </c>
      <c r="L1100" s="2">
        <v>4.2000000000000003E-2</v>
      </c>
      <c r="M1100" s="2">
        <v>1255</v>
      </c>
      <c r="N1100" s="2" t="s">
        <v>1190</v>
      </c>
    </row>
    <row r="1101" spans="1:14" x14ac:dyDescent="0.3">
      <c r="A1101" s="2" t="s">
        <v>14</v>
      </c>
      <c r="B1101" s="2" t="s">
        <v>15</v>
      </c>
      <c r="C1101" s="2" t="s">
        <v>16</v>
      </c>
      <c r="D1101" s="2" t="str">
        <f>("089013")</f>
        <v>089013</v>
      </c>
      <c r="E1101" s="2" t="str">
        <f>("622454890138")</f>
        <v>622454890138</v>
      </c>
      <c r="G1101" s="2" t="s">
        <v>1206</v>
      </c>
      <c r="H1101" s="5">
        <v>365.64</v>
      </c>
      <c r="I1101" s="2" t="s">
        <v>18</v>
      </c>
      <c r="J1101" s="3">
        <v>43013</v>
      </c>
      <c r="K1101" s="2">
        <v>2.1999999999999999E-2</v>
      </c>
      <c r="L1101" s="2">
        <v>4.9000000000000002E-2</v>
      </c>
      <c r="M1101" s="2">
        <v>1005</v>
      </c>
      <c r="N1101" s="2" t="s">
        <v>1190</v>
      </c>
    </row>
    <row r="1102" spans="1:14" x14ac:dyDescent="0.3">
      <c r="A1102" s="2" t="s">
        <v>14</v>
      </c>
      <c r="B1102" s="2" t="s">
        <v>15</v>
      </c>
      <c r="C1102" s="2" t="s">
        <v>16</v>
      </c>
      <c r="D1102" s="2" t="str">
        <f>("089014")</f>
        <v>089014</v>
      </c>
      <c r="E1102" s="2" t="str">
        <f>("622454890145")</f>
        <v>622454890145</v>
      </c>
      <c r="G1102" s="2" t="s">
        <v>1207</v>
      </c>
      <c r="H1102" s="5">
        <v>547.75</v>
      </c>
      <c r="I1102" s="2" t="s">
        <v>18</v>
      </c>
      <c r="J1102" s="3">
        <v>43013</v>
      </c>
      <c r="K1102" s="2">
        <v>2.8000000000000001E-2</v>
      </c>
      <c r="L1102" s="2">
        <v>6.2E-2</v>
      </c>
      <c r="M1102" s="2">
        <v>503</v>
      </c>
      <c r="N1102" s="2" t="s">
        <v>1190</v>
      </c>
    </row>
    <row r="1103" spans="1:14" x14ac:dyDescent="0.3">
      <c r="A1103" s="2" t="s">
        <v>14</v>
      </c>
      <c r="B1103" s="2" t="s">
        <v>15</v>
      </c>
      <c r="C1103" s="2" t="s">
        <v>16</v>
      </c>
      <c r="D1103" s="2" t="str">
        <f>("078186")</f>
        <v>078186</v>
      </c>
      <c r="E1103" s="2" t="str">
        <f>("622454781863")</f>
        <v>622454781863</v>
      </c>
      <c r="G1103" s="2" t="s">
        <v>1208</v>
      </c>
      <c r="H1103" s="5">
        <v>2366.9299999999998</v>
      </c>
      <c r="I1103" s="2" t="s">
        <v>18</v>
      </c>
      <c r="J1103" s="3">
        <v>43013</v>
      </c>
      <c r="K1103" s="2">
        <v>0.94499999999999995</v>
      </c>
      <c r="L1103" s="2">
        <v>2.0830000000000002</v>
      </c>
      <c r="M1103" s="2">
        <v>1223</v>
      </c>
      <c r="N1103" s="2" t="s">
        <v>1209</v>
      </c>
    </row>
    <row r="1104" spans="1:14" x14ac:dyDescent="0.3">
      <c r="A1104" s="2" t="s">
        <v>14</v>
      </c>
      <c r="B1104" s="2" t="s">
        <v>15</v>
      </c>
      <c r="C1104" s="2" t="s">
        <v>16</v>
      </c>
      <c r="D1104" s="2" t="str">
        <f>("089003")</f>
        <v>089003</v>
      </c>
      <c r="E1104" s="2" t="str">
        <f>("622454890039")</f>
        <v>622454890039</v>
      </c>
      <c r="G1104" s="2" t="s">
        <v>1210</v>
      </c>
      <c r="H1104" s="5">
        <v>61.61</v>
      </c>
      <c r="I1104" s="2" t="s">
        <v>18</v>
      </c>
      <c r="J1104" s="3">
        <v>43013</v>
      </c>
      <c r="K1104" s="2">
        <v>1E-3</v>
      </c>
      <c r="L1104" s="2">
        <v>2E-3</v>
      </c>
      <c r="M1104" s="2">
        <v>1001</v>
      </c>
      <c r="N1104" s="2" t="s">
        <v>1171</v>
      </c>
    </row>
    <row r="1105" spans="1:14" x14ac:dyDescent="0.3">
      <c r="A1105" s="2" t="s">
        <v>14</v>
      </c>
      <c r="B1105" s="2" t="s">
        <v>15</v>
      </c>
      <c r="C1105" s="2" t="s">
        <v>16</v>
      </c>
      <c r="D1105" s="2" t="str">
        <f>("089004")</f>
        <v>089004</v>
      </c>
      <c r="E1105" s="2" t="str">
        <f>("622454890046")</f>
        <v>622454890046</v>
      </c>
      <c r="G1105" s="2" t="s">
        <v>1211</v>
      </c>
      <c r="H1105" s="5">
        <v>64.400000000000006</v>
      </c>
      <c r="I1105" s="2" t="s">
        <v>18</v>
      </c>
      <c r="J1105" s="3">
        <v>43013</v>
      </c>
      <c r="K1105" s="2">
        <v>0.01</v>
      </c>
      <c r="L1105" s="2">
        <v>2.1999999999999999E-2</v>
      </c>
      <c r="M1105" s="2">
        <v>1002</v>
      </c>
      <c r="N1105" s="2" t="s">
        <v>1171</v>
      </c>
    </row>
    <row r="1106" spans="1:14" x14ac:dyDescent="0.3">
      <c r="A1106" s="2" t="s">
        <v>14</v>
      </c>
      <c r="B1106" s="2" t="s">
        <v>15</v>
      </c>
      <c r="C1106" s="2" t="s">
        <v>16</v>
      </c>
      <c r="D1106" s="2" t="str">
        <f>("089005")</f>
        <v>089005</v>
      </c>
      <c r="E1106" s="2" t="str">
        <f>("622454890053")</f>
        <v>622454890053</v>
      </c>
      <c r="G1106" s="2" t="s">
        <v>1212</v>
      </c>
      <c r="H1106" s="5">
        <v>95.2</v>
      </c>
      <c r="I1106" s="2" t="s">
        <v>18</v>
      </c>
      <c r="J1106" s="3">
        <v>43013</v>
      </c>
      <c r="K1106" s="2">
        <v>2E-3</v>
      </c>
      <c r="L1106" s="2">
        <v>4.0000000000000001E-3</v>
      </c>
      <c r="M1106" s="2">
        <v>1002</v>
      </c>
      <c r="N1106" s="2" t="s">
        <v>1171</v>
      </c>
    </row>
    <row r="1107" spans="1:14" x14ac:dyDescent="0.3">
      <c r="A1107" s="2" t="s">
        <v>14</v>
      </c>
      <c r="B1107" s="2" t="s">
        <v>15</v>
      </c>
      <c r="C1107" s="2" t="s">
        <v>16</v>
      </c>
      <c r="D1107" s="2" t="str">
        <f>("089501")</f>
        <v>089501</v>
      </c>
      <c r="E1107" s="2" t="str">
        <f>("622454895010")</f>
        <v>622454895010</v>
      </c>
      <c r="G1107" s="2" t="s">
        <v>1213</v>
      </c>
      <c r="H1107" s="5">
        <v>170.03</v>
      </c>
      <c r="I1107" s="2" t="s">
        <v>18</v>
      </c>
      <c r="J1107" s="3">
        <v>43013</v>
      </c>
      <c r="K1107" s="2">
        <v>3.3000000000000002E-2</v>
      </c>
      <c r="L1107" s="2">
        <v>7.2999999999999995E-2</v>
      </c>
      <c r="M1107" s="2">
        <v>5037</v>
      </c>
      <c r="N1107" s="2" t="s">
        <v>1164</v>
      </c>
    </row>
    <row r="1108" spans="1:14" x14ac:dyDescent="0.3">
      <c r="A1108" s="2" t="s">
        <v>14</v>
      </c>
      <c r="B1108" s="2" t="s">
        <v>15</v>
      </c>
      <c r="C1108" s="2" t="s">
        <v>16</v>
      </c>
      <c r="D1108" s="2" t="str">
        <f>("220000")</f>
        <v>220000</v>
      </c>
      <c r="E1108" s="2" t="str">
        <f>("622454399945")</f>
        <v>622454399945</v>
      </c>
      <c r="G1108" s="2" t="s">
        <v>1214</v>
      </c>
      <c r="H1108" s="5">
        <v>800</v>
      </c>
      <c r="I1108" s="2" t="s">
        <v>18</v>
      </c>
      <c r="J1108" s="3">
        <v>43013</v>
      </c>
      <c r="K1108" s="2">
        <v>0.13400000000000001</v>
      </c>
      <c r="L1108" s="2">
        <v>0.29499999999999998</v>
      </c>
      <c r="M1108" s="2">
        <v>18</v>
      </c>
      <c r="N1108" s="2" t="s">
        <v>1215</v>
      </c>
    </row>
    <row r="1109" spans="1:14" x14ac:dyDescent="0.3">
      <c r="A1109" s="2" t="s">
        <v>14</v>
      </c>
      <c r="B1109" s="2" t="s">
        <v>15</v>
      </c>
      <c r="C1109" s="2" t="s">
        <v>16</v>
      </c>
      <c r="D1109" s="2" t="str">
        <f>("220001")</f>
        <v>220001</v>
      </c>
      <c r="E1109" s="2" t="str">
        <f>("622454399952")</f>
        <v>622454399952</v>
      </c>
      <c r="G1109" s="2" t="s">
        <v>1216</v>
      </c>
      <c r="H1109" s="5">
        <v>1200</v>
      </c>
      <c r="I1109" s="2" t="s">
        <v>18</v>
      </c>
      <c r="J1109" s="3">
        <v>43013</v>
      </c>
      <c r="K1109" s="2">
        <v>0.17399999999999999</v>
      </c>
      <c r="L1109" s="2">
        <v>0.38400000000000001</v>
      </c>
      <c r="M1109" s="2">
        <v>12</v>
      </c>
      <c r="N1109" s="2" t="s">
        <v>1215</v>
      </c>
    </row>
    <row r="1110" spans="1:14" x14ac:dyDescent="0.3">
      <c r="A1110" s="2" t="s">
        <v>14</v>
      </c>
      <c r="B1110" s="2" t="s">
        <v>15</v>
      </c>
      <c r="C1110" s="2" t="s">
        <v>16</v>
      </c>
      <c r="D1110" s="2" t="str">
        <f>("220002")</f>
        <v>220002</v>
      </c>
      <c r="E1110" s="2" t="str">
        <f>("622454399969")</f>
        <v>622454399969</v>
      </c>
      <c r="G1110" s="2" t="s">
        <v>1217</v>
      </c>
      <c r="H1110" s="5">
        <v>1450</v>
      </c>
      <c r="I1110" s="2" t="s">
        <v>18</v>
      </c>
      <c r="J1110" s="3">
        <v>43013</v>
      </c>
      <c r="K1110" s="2">
        <v>0.214</v>
      </c>
      <c r="L1110" s="2">
        <v>0.47199999999999998</v>
      </c>
      <c r="M1110" s="2">
        <v>8</v>
      </c>
      <c r="N1110" s="2" t="s">
        <v>1215</v>
      </c>
    </row>
    <row r="1111" spans="1:14" x14ac:dyDescent="0.3">
      <c r="A1111" s="2" t="s">
        <v>14</v>
      </c>
      <c r="B1111" s="2" t="s">
        <v>15</v>
      </c>
      <c r="C1111" s="2" t="s">
        <v>16</v>
      </c>
      <c r="D1111" s="2" t="str">
        <f>("220009")</f>
        <v>220009</v>
      </c>
      <c r="E1111" s="2" t="str">
        <f>("622454414266")</f>
        <v>622454414266</v>
      </c>
      <c r="G1111" s="2" t="s">
        <v>1218</v>
      </c>
      <c r="H1111" s="5">
        <v>1300</v>
      </c>
      <c r="I1111" s="2" t="s">
        <v>18</v>
      </c>
      <c r="J1111" s="3">
        <v>43013</v>
      </c>
      <c r="K1111" s="2">
        <v>0.17799999999999999</v>
      </c>
      <c r="L1111" s="2">
        <v>0.39200000000000002</v>
      </c>
      <c r="M1111" s="2">
        <v>18</v>
      </c>
      <c r="N1111" s="2" t="s">
        <v>1215</v>
      </c>
    </row>
    <row r="1112" spans="1:14" x14ac:dyDescent="0.3">
      <c r="A1112" s="2" t="s">
        <v>14</v>
      </c>
      <c r="B1112" s="2" t="s">
        <v>15</v>
      </c>
      <c r="C1112" s="2" t="s">
        <v>16</v>
      </c>
      <c r="D1112" s="2" t="str">
        <f>("220010")</f>
        <v>220010</v>
      </c>
      <c r="E1112" s="2" t="str">
        <f>("622454414273")</f>
        <v>622454414273</v>
      </c>
      <c r="G1112" s="2" t="s">
        <v>1219</v>
      </c>
      <c r="H1112" s="5">
        <v>2000</v>
      </c>
      <c r="I1112" s="2" t="s">
        <v>18</v>
      </c>
      <c r="J1112" s="3">
        <v>43013</v>
      </c>
      <c r="K1112" s="2">
        <v>0.27200000000000002</v>
      </c>
      <c r="L1112" s="2">
        <v>0.6</v>
      </c>
      <c r="M1112" s="2">
        <v>12</v>
      </c>
      <c r="N1112" s="2" t="s">
        <v>1215</v>
      </c>
    </row>
    <row r="1113" spans="1:14" x14ac:dyDescent="0.3">
      <c r="A1113" s="2" t="s">
        <v>14</v>
      </c>
      <c r="B1113" s="2" t="s">
        <v>15</v>
      </c>
      <c r="C1113" s="2" t="s">
        <v>16</v>
      </c>
      <c r="D1113" s="2" t="str">
        <f>("220011")</f>
        <v>220011</v>
      </c>
      <c r="E1113" s="2" t="str">
        <f>("622454414297")</f>
        <v>622454414297</v>
      </c>
      <c r="G1113" s="2" t="s">
        <v>1220</v>
      </c>
      <c r="H1113" s="5">
        <v>3200</v>
      </c>
      <c r="I1113" s="2" t="s">
        <v>18</v>
      </c>
      <c r="J1113" s="3">
        <v>43013</v>
      </c>
      <c r="K1113" s="2">
        <v>0.34599999999999997</v>
      </c>
      <c r="L1113" s="2">
        <v>0.76300000000000001</v>
      </c>
      <c r="M1113" s="2">
        <v>8</v>
      </c>
      <c r="N1113" s="2" t="s">
        <v>1215</v>
      </c>
    </row>
    <row r="1114" spans="1:14" x14ac:dyDescent="0.3">
      <c r="A1114" s="2" t="s">
        <v>14</v>
      </c>
      <c r="B1114" s="2" t="s">
        <v>15</v>
      </c>
      <c r="C1114" s="2" t="s">
        <v>16</v>
      </c>
      <c r="D1114" s="2" t="str">
        <f>("220100")</f>
        <v>220100</v>
      </c>
      <c r="E1114" s="2" t="str">
        <f>("622454818736")</f>
        <v>622454818736</v>
      </c>
      <c r="G1114" s="2" t="s">
        <v>1221</v>
      </c>
      <c r="H1114" s="5">
        <v>265</v>
      </c>
      <c r="I1114" s="2" t="s">
        <v>18</v>
      </c>
      <c r="J1114" s="3">
        <v>43013</v>
      </c>
      <c r="K1114" s="2">
        <v>0.02</v>
      </c>
      <c r="L1114" s="2">
        <v>4.3999999999999997E-2</v>
      </c>
      <c r="M1114" s="2">
        <v>10</v>
      </c>
      <c r="N1114" s="2" t="s">
        <v>1215</v>
      </c>
    </row>
    <row r="1115" spans="1:14" x14ac:dyDescent="0.3">
      <c r="A1115" s="2" t="s">
        <v>14</v>
      </c>
      <c r="B1115" s="2" t="s">
        <v>15</v>
      </c>
      <c r="C1115" s="2" t="s">
        <v>16</v>
      </c>
      <c r="D1115" s="2" t="str">
        <f>("165005")</f>
        <v>165005</v>
      </c>
      <c r="E1115" s="2" t="str">
        <f>("622454126893")</f>
        <v>622454126893</v>
      </c>
      <c r="G1115" s="2" t="s">
        <v>1222</v>
      </c>
      <c r="H1115" s="5">
        <v>135.83000000000001</v>
      </c>
      <c r="I1115" s="2" t="s">
        <v>18</v>
      </c>
      <c r="J1115" s="3">
        <v>43013</v>
      </c>
      <c r="K1115" s="2">
        <v>4.4999999999999998E-2</v>
      </c>
      <c r="L1115" s="2">
        <v>9.9000000000000005E-2</v>
      </c>
      <c r="N1115" s="2" t="s">
        <v>1223</v>
      </c>
    </row>
    <row r="1116" spans="1:14" x14ac:dyDescent="0.3">
      <c r="A1116" s="2" t="s">
        <v>14</v>
      </c>
      <c r="B1116" s="2" t="s">
        <v>15</v>
      </c>
      <c r="C1116" s="2" t="s">
        <v>16</v>
      </c>
      <c r="D1116" s="2" t="str">
        <f>("165007")</f>
        <v>165007</v>
      </c>
      <c r="E1116" s="2" t="str">
        <f>("622454126909")</f>
        <v>622454126909</v>
      </c>
      <c r="G1116" s="2" t="s">
        <v>1224</v>
      </c>
      <c r="H1116" s="5">
        <v>147.27000000000001</v>
      </c>
      <c r="I1116" s="2" t="s">
        <v>18</v>
      </c>
      <c r="J1116" s="3">
        <v>43013</v>
      </c>
      <c r="K1116" s="2">
        <v>5.3999999999999999E-2</v>
      </c>
      <c r="L1116" s="2">
        <v>0.11899999999999999</v>
      </c>
      <c r="N1116" s="2" t="s">
        <v>1225</v>
      </c>
    </row>
    <row r="1117" spans="1:14" x14ac:dyDescent="0.3">
      <c r="A1117" s="2" t="s">
        <v>14</v>
      </c>
      <c r="B1117" s="2" t="s">
        <v>15</v>
      </c>
      <c r="C1117" s="2" t="s">
        <v>16</v>
      </c>
      <c r="D1117" s="2" t="str">
        <f>("165009")</f>
        <v>165009</v>
      </c>
      <c r="E1117" s="2" t="str">
        <f>("622454126916")</f>
        <v>622454126916</v>
      </c>
      <c r="G1117" s="2" t="s">
        <v>1226</v>
      </c>
      <c r="H1117" s="5">
        <v>203.75</v>
      </c>
      <c r="I1117" s="2" t="s">
        <v>18</v>
      </c>
      <c r="J1117" s="3">
        <v>43013</v>
      </c>
      <c r="K1117" s="2">
        <v>7.2999999999999995E-2</v>
      </c>
      <c r="L1117" s="2">
        <v>0.161</v>
      </c>
      <c r="N1117" s="2" t="s">
        <v>1227</v>
      </c>
    </row>
    <row r="1118" spans="1:14" x14ac:dyDescent="0.3">
      <c r="A1118" s="2" t="s">
        <v>14</v>
      </c>
      <c r="B1118" s="2" t="s">
        <v>15</v>
      </c>
      <c r="C1118" s="2" t="s">
        <v>16</v>
      </c>
      <c r="D1118" s="2" t="str">
        <f>("165011")</f>
        <v>165011</v>
      </c>
      <c r="E1118" s="2" t="str">
        <f>("622454126923")</f>
        <v>622454126923</v>
      </c>
      <c r="G1118" s="2" t="s">
        <v>1228</v>
      </c>
      <c r="H1118" s="5">
        <v>410.12</v>
      </c>
      <c r="I1118" s="2" t="s">
        <v>18</v>
      </c>
      <c r="J1118" s="3">
        <v>43013</v>
      </c>
      <c r="K1118" s="2">
        <v>0.11799999999999999</v>
      </c>
      <c r="L1118" s="2">
        <v>0.26</v>
      </c>
      <c r="N1118" s="2" t="s">
        <v>1229</v>
      </c>
    </row>
    <row r="1119" spans="1:14" x14ac:dyDescent="0.3">
      <c r="A1119" s="2" t="s">
        <v>14</v>
      </c>
      <c r="B1119" s="2" t="s">
        <v>15</v>
      </c>
      <c r="C1119" s="2" t="s">
        <v>16</v>
      </c>
      <c r="D1119" s="2" t="str">
        <f>("165014")</f>
        <v>165014</v>
      </c>
      <c r="E1119" s="2" t="str">
        <f>("622454126930")</f>
        <v>622454126930</v>
      </c>
      <c r="G1119" s="2" t="s">
        <v>1230</v>
      </c>
      <c r="H1119" s="5">
        <v>535.49</v>
      </c>
      <c r="I1119" s="2" t="s">
        <v>18</v>
      </c>
      <c r="J1119" s="3">
        <v>43013</v>
      </c>
      <c r="K1119" s="2">
        <v>0.14099999999999999</v>
      </c>
      <c r="L1119" s="2">
        <v>0.311</v>
      </c>
      <c r="N1119" s="2" t="s">
        <v>1223</v>
      </c>
    </row>
    <row r="1120" spans="1:14" x14ac:dyDescent="0.3">
      <c r="A1120" s="2" t="s">
        <v>14</v>
      </c>
      <c r="B1120" s="2" t="s">
        <v>15</v>
      </c>
      <c r="C1120" s="2" t="s">
        <v>16</v>
      </c>
      <c r="D1120" s="2" t="str">
        <f>("165017")</f>
        <v>165017</v>
      </c>
      <c r="E1120" s="2" t="str">
        <f>("622454126947")</f>
        <v>622454126947</v>
      </c>
      <c r="G1120" s="2" t="s">
        <v>1231</v>
      </c>
      <c r="H1120" s="5">
        <v>744.18</v>
      </c>
      <c r="I1120" s="2" t="s">
        <v>18</v>
      </c>
      <c r="J1120" s="3">
        <v>43013</v>
      </c>
      <c r="K1120" s="2">
        <v>0.20899999999999999</v>
      </c>
      <c r="L1120" s="2">
        <v>0.46100000000000002</v>
      </c>
      <c r="N1120" s="2" t="s">
        <v>1223</v>
      </c>
    </row>
    <row r="1121" spans="1:14" x14ac:dyDescent="0.3">
      <c r="A1121" s="2" t="s">
        <v>14</v>
      </c>
      <c r="B1121" s="2" t="s">
        <v>15</v>
      </c>
      <c r="C1121" s="2" t="s">
        <v>16</v>
      </c>
      <c r="D1121" s="2" t="str">
        <f>("165021")</f>
        <v>165021</v>
      </c>
      <c r="E1121" s="2" t="str">
        <f>("622454126961")</f>
        <v>622454126961</v>
      </c>
      <c r="G1121" s="2" t="s">
        <v>1232</v>
      </c>
      <c r="H1121" s="5">
        <v>744.18</v>
      </c>
      <c r="I1121" s="2" t="s">
        <v>18</v>
      </c>
      <c r="J1121" s="3">
        <v>43013</v>
      </c>
      <c r="K1121" s="2">
        <v>0.20100000000000001</v>
      </c>
      <c r="L1121" s="2">
        <v>0.443</v>
      </c>
      <c r="N1121" s="2" t="s">
        <v>1223</v>
      </c>
    </row>
    <row r="1122" spans="1:14" x14ac:dyDescent="0.3">
      <c r="A1122" s="2" t="s">
        <v>14</v>
      </c>
      <c r="B1122" s="2" t="s">
        <v>15</v>
      </c>
      <c r="C1122" s="2" t="s">
        <v>16</v>
      </c>
      <c r="D1122" s="2" t="str">
        <f>("165020")</f>
        <v>165020</v>
      </c>
      <c r="E1122" s="2" t="str">
        <f>("622454126954")</f>
        <v>622454126954</v>
      </c>
      <c r="G1122" s="2" t="s">
        <v>1233</v>
      </c>
      <c r="H1122" s="5">
        <v>906.95</v>
      </c>
      <c r="I1122" s="2" t="s">
        <v>18</v>
      </c>
      <c r="J1122" s="3">
        <v>43013</v>
      </c>
      <c r="K1122" s="2">
        <v>0.52600000000000002</v>
      </c>
      <c r="L1122" s="2">
        <v>1.1599999999999999</v>
      </c>
      <c r="N1122" s="2" t="s">
        <v>1223</v>
      </c>
    </row>
    <row r="1123" spans="1:14" x14ac:dyDescent="0.3">
      <c r="A1123" s="2" t="s">
        <v>14</v>
      </c>
      <c r="B1123" s="2" t="s">
        <v>15</v>
      </c>
      <c r="C1123" s="2" t="s">
        <v>16</v>
      </c>
      <c r="D1123" s="2" t="str">
        <f>("165082")</f>
        <v>165082</v>
      </c>
      <c r="E1123" s="2" t="str">
        <f>("622454127036")</f>
        <v>622454127036</v>
      </c>
      <c r="G1123" s="2" t="s">
        <v>1234</v>
      </c>
      <c r="H1123" s="5">
        <v>161.80000000000001</v>
      </c>
      <c r="I1123" s="2" t="s">
        <v>18</v>
      </c>
      <c r="J1123" s="3">
        <v>43013</v>
      </c>
      <c r="K1123" s="2">
        <v>0.05</v>
      </c>
      <c r="L1123" s="2">
        <v>0.11</v>
      </c>
      <c r="N1123" s="2" t="s">
        <v>1225</v>
      </c>
    </row>
    <row r="1124" spans="1:14" x14ac:dyDescent="0.3">
      <c r="A1124" s="2" t="s">
        <v>14</v>
      </c>
      <c r="B1124" s="2" t="s">
        <v>15</v>
      </c>
      <c r="C1124" s="2" t="s">
        <v>16</v>
      </c>
      <c r="D1124" s="2" t="str">
        <f>("165085")</f>
        <v>165085</v>
      </c>
      <c r="E1124" s="2" t="str">
        <f>("622454127043")</f>
        <v>622454127043</v>
      </c>
      <c r="G1124" s="2" t="s">
        <v>1235</v>
      </c>
      <c r="H1124" s="5">
        <v>223.81</v>
      </c>
      <c r="I1124" s="2" t="s">
        <v>18</v>
      </c>
      <c r="J1124" s="3">
        <v>43013</v>
      </c>
      <c r="K1124" s="2">
        <v>9.6000000000000002E-2</v>
      </c>
      <c r="L1124" s="2">
        <v>0.21199999999999999</v>
      </c>
      <c r="N1124" s="2" t="s">
        <v>1227</v>
      </c>
    </row>
    <row r="1125" spans="1:14" x14ac:dyDescent="0.3">
      <c r="A1125" s="2" t="s">
        <v>14</v>
      </c>
      <c r="B1125" s="2" t="s">
        <v>15</v>
      </c>
      <c r="C1125" s="2" t="s">
        <v>16</v>
      </c>
      <c r="D1125" s="2" t="str">
        <f>("165090")</f>
        <v>165090</v>
      </c>
      <c r="E1125" s="2" t="str">
        <f>("622454127050")</f>
        <v>622454127050</v>
      </c>
      <c r="G1125" s="2" t="s">
        <v>1236</v>
      </c>
      <c r="H1125" s="5">
        <v>451.49</v>
      </c>
      <c r="I1125" s="2" t="s">
        <v>18</v>
      </c>
      <c r="J1125" s="3">
        <v>43013</v>
      </c>
      <c r="K1125" s="2">
        <v>0.05</v>
      </c>
      <c r="L1125" s="2">
        <v>0.11</v>
      </c>
      <c r="N1125" s="2" t="s">
        <v>1229</v>
      </c>
    </row>
    <row r="1126" spans="1:14" x14ac:dyDescent="0.3">
      <c r="A1126" s="2" t="s">
        <v>14</v>
      </c>
      <c r="B1126" s="2" t="s">
        <v>15</v>
      </c>
      <c r="C1126" s="2" t="s">
        <v>16</v>
      </c>
      <c r="D1126" s="2" t="str">
        <f>("065306")</f>
        <v>065306</v>
      </c>
      <c r="E1126" s="2" t="str">
        <f>("622454653061")</f>
        <v>622454653061</v>
      </c>
      <c r="G1126" s="2" t="s">
        <v>1237</v>
      </c>
      <c r="H1126" s="5">
        <v>776.4</v>
      </c>
      <c r="I1126" s="2" t="s">
        <v>18</v>
      </c>
      <c r="J1126" s="3">
        <v>43013</v>
      </c>
      <c r="K1126" s="2">
        <v>3.1E-2</v>
      </c>
      <c r="L1126" s="2">
        <v>6.8000000000000005E-2</v>
      </c>
      <c r="M1126" s="2">
        <v>10</v>
      </c>
      <c r="N1126" s="2" t="s">
        <v>1238</v>
      </c>
    </row>
    <row r="1127" spans="1:14" x14ac:dyDescent="0.3">
      <c r="A1127" s="2" t="s">
        <v>14</v>
      </c>
      <c r="B1127" s="2" t="s">
        <v>15</v>
      </c>
      <c r="C1127" s="2" t="s">
        <v>16</v>
      </c>
      <c r="D1127" s="2" t="str">
        <f>("065307")</f>
        <v>065307</v>
      </c>
      <c r="E1127" s="2" t="str">
        <f>("622454653078")</f>
        <v>622454653078</v>
      </c>
      <c r="G1127" s="2" t="s">
        <v>1239</v>
      </c>
      <c r="H1127" s="5">
        <v>559.11</v>
      </c>
      <c r="I1127" s="2" t="s">
        <v>18</v>
      </c>
      <c r="J1127" s="3">
        <v>43013</v>
      </c>
      <c r="K1127" s="2">
        <v>0.03</v>
      </c>
      <c r="L1127" s="2">
        <v>6.6000000000000003E-2</v>
      </c>
      <c r="M1127" s="2">
        <v>10</v>
      </c>
      <c r="N1127" s="2" t="s">
        <v>1238</v>
      </c>
    </row>
    <row r="1128" spans="1:14" x14ac:dyDescent="0.3">
      <c r="A1128" s="2" t="s">
        <v>14</v>
      </c>
      <c r="B1128" s="2" t="s">
        <v>15</v>
      </c>
      <c r="C1128" s="2" t="s">
        <v>16</v>
      </c>
      <c r="D1128" s="2" t="str">
        <f>("065310")</f>
        <v>065310</v>
      </c>
      <c r="E1128" s="2" t="str">
        <f>("622454653108")</f>
        <v>622454653108</v>
      </c>
      <c r="G1128" s="2" t="s">
        <v>1240</v>
      </c>
      <c r="H1128" s="5">
        <v>716.94</v>
      </c>
      <c r="I1128" s="2" t="s">
        <v>18</v>
      </c>
      <c r="J1128" s="3">
        <v>43013</v>
      </c>
      <c r="K1128" s="2">
        <v>4.3999999999999997E-2</v>
      </c>
      <c r="L1128" s="2">
        <v>9.7000000000000003E-2</v>
      </c>
      <c r="M1128" s="2">
        <v>10</v>
      </c>
      <c r="N1128" s="2" t="s">
        <v>1238</v>
      </c>
    </row>
    <row r="1129" spans="1:14" x14ac:dyDescent="0.3">
      <c r="A1129" s="2" t="s">
        <v>14</v>
      </c>
      <c r="B1129" s="2" t="s">
        <v>15</v>
      </c>
      <c r="C1129" s="2" t="s">
        <v>16</v>
      </c>
      <c r="D1129" s="2" t="str">
        <f>("065312")</f>
        <v>065312</v>
      </c>
      <c r="E1129" s="2" t="str">
        <f>("622454653122")</f>
        <v>622454653122</v>
      </c>
      <c r="G1129" s="2" t="s">
        <v>1241</v>
      </c>
      <c r="H1129" s="5">
        <v>1659.13</v>
      </c>
      <c r="I1129" s="2" t="s">
        <v>18</v>
      </c>
      <c r="J1129" s="3">
        <v>43013</v>
      </c>
      <c r="K1129" s="2">
        <v>8.3000000000000004E-2</v>
      </c>
      <c r="L1129" s="2">
        <v>0.183</v>
      </c>
      <c r="M1129" s="2">
        <v>5</v>
      </c>
      <c r="N1129" s="2" t="s">
        <v>1238</v>
      </c>
    </row>
    <row r="1130" spans="1:14" x14ac:dyDescent="0.3">
      <c r="A1130" s="2" t="s">
        <v>14</v>
      </c>
      <c r="B1130" s="2" t="s">
        <v>15</v>
      </c>
      <c r="C1130" s="2" t="s">
        <v>16</v>
      </c>
      <c r="D1130" s="2" t="str">
        <f>("065314")</f>
        <v>065314</v>
      </c>
      <c r="E1130" s="2" t="str">
        <f>("622454653146")</f>
        <v>622454653146</v>
      </c>
      <c r="G1130" s="2" t="s">
        <v>1242</v>
      </c>
      <c r="H1130" s="5">
        <v>2996.97</v>
      </c>
      <c r="I1130" s="2" t="s">
        <v>18</v>
      </c>
      <c r="J1130" s="3">
        <v>43013</v>
      </c>
      <c r="K1130" s="2">
        <v>0.17</v>
      </c>
      <c r="L1130" s="2">
        <v>0.375</v>
      </c>
      <c r="M1130" s="2">
        <v>5</v>
      </c>
      <c r="N1130" s="2" t="s">
        <v>1238</v>
      </c>
    </row>
    <row r="1131" spans="1:14" x14ac:dyDescent="0.3">
      <c r="A1131" s="2" t="s">
        <v>14</v>
      </c>
      <c r="B1131" s="2" t="s">
        <v>15</v>
      </c>
      <c r="C1131" s="2" t="s">
        <v>16</v>
      </c>
      <c r="D1131" s="2" t="str">
        <f>("065317")</f>
        <v>065317</v>
      </c>
      <c r="E1131" s="2" t="str">
        <f>("622454653177")</f>
        <v>622454653177</v>
      </c>
      <c r="G1131" s="2" t="s">
        <v>1243</v>
      </c>
      <c r="H1131" s="5">
        <v>3541.14</v>
      </c>
      <c r="I1131" s="2" t="s">
        <v>18</v>
      </c>
      <c r="J1131" s="3">
        <v>43013</v>
      </c>
      <c r="K1131" s="2">
        <v>0.2</v>
      </c>
      <c r="L1131" s="2">
        <v>0.441</v>
      </c>
      <c r="M1131" s="2">
        <v>2</v>
      </c>
      <c r="N1131" s="2" t="s">
        <v>1238</v>
      </c>
    </row>
    <row r="1132" spans="1:14" x14ac:dyDescent="0.3">
      <c r="A1132" s="2" t="s">
        <v>14</v>
      </c>
      <c r="B1132" s="2" t="s">
        <v>15</v>
      </c>
      <c r="C1132" s="2" t="s">
        <v>16</v>
      </c>
      <c r="D1132" s="2" t="str">
        <f>("065320")</f>
        <v>065320</v>
      </c>
      <c r="E1132" s="2" t="str">
        <f>("622454653207")</f>
        <v>622454653207</v>
      </c>
      <c r="G1132" s="2" t="s">
        <v>1244</v>
      </c>
      <c r="H1132" s="5">
        <v>5179.7700000000004</v>
      </c>
      <c r="I1132" s="2" t="s">
        <v>18</v>
      </c>
      <c r="J1132" s="3">
        <v>43013</v>
      </c>
      <c r="K1132" s="2">
        <v>0.28999999999999998</v>
      </c>
      <c r="L1132" s="2">
        <v>0.63900000000000001</v>
      </c>
      <c r="M1132" s="2">
        <v>2</v>
      </c>
      <c r="N1132" s="2" t="s">
        <v>1238</v>
      </c>
    </row>
    <row r="1133" spans="1:14" x14ac:dyDescent="0.3">
      <c r="A1133" s="2" t="s">
        <v>14</v>
      </c>
      <c r="B1133" s="2" t="s">
        <v>15</v>
      </c>
      <c r="C1133" s="2" t="s">
        <v>16</v>
      </c>
      <c r="D1133" s="2" t="str">
        <f>("065326")</f>
        <v>065326</v>
      </c>
      <c r="E1133" s="2" t="str">
        <f>("622454653269")</f>
        <v>622454653269</v>
      </c>
      <c r="G1133" s="2" t="s">
        <v>1245</v>
      </c>
      <c r="H1133" s="5">
        <v>505.61</v>
      </c>
      <c r="I1133" s="2" t="s">
        <v>18</v>
      </c>
      <c r="J1133" s="3">
        <v>43013</v>
      </c>
      <c r="K1133" s="2">
        <v>2.4E-2</v>
      </c>
      <c r="L1133" s="2">
        <v>5.2999999999999999E-2</v>
      </c>
      <c r="M1133" s="2">
        <v>25</v>
      </c>
      <c r="N1133" s="2" t="s">
        <v>1238</v>
      </c>
    </row>
    <row r="1134" spans="1:14" x14ac:dyDescent="0.3">
      <c r="A1134" s="2" t="s">
        <v>14</v>
      </c>
      <c r="B1134" s="2" t="s">
        <v>15</v>
      </c>
      <c r="C1134" s="2" t="s">
        <v>16</v>
      </c>
      <c r="D1134" s="2" t="str">
        <f>("065327")</f>
        <v>065327</v>
      </c>
      <c r="E1134" s="2" t="str">
        <f>("622454653276")</f>
        <v>622454653276</v>
      </c>
      <c r="G1134" s="2" t="s">
        <v>1246</v>
      </c>
      <c r="H1134" s="5">
        <v>342.8</v>
      </c>
      <c r="I1134" s="2" t="s">
        <v>18</v>
      </c>
      <c r="J1134" s="3">
        <v>43013</v>
      </c>
      <c r="K1134" s="2">
        <v>2.3E-2</v>
      </c>
      <c r="L1134" s="2">
        <v>5.0999999999999997E-2</v>
      </c>
      <c r="M1134" s="2">
        <v>25</v>
      </c>
      <c r="N1134" s="2" t="s">
        <v>1238</v>
      </c>
    </row>
    <row r="1135" spans="1:14" x14ac:dyDescent="0.3">
      <c r="A1135" s="2" t="s">
        <v>14</v>
      </c>
      <c r="B1135" s="2" t="s">
        <v>15</v>
      </c>
      <c r="C1135" s="2" t="s">
        <v>16</v>
      </c>
      <c r="D1135" s="2" t="str">
        <f>("065330")</f>
        <v>065330</v>
      </c>
      <c r="E1135" s="2" t="str">
        <f>("622454653306")</f>
        <v>622454653306</v>
      </c>
      <c r="G1135" s="2" t="s">
        <v>1247</v>
      </c>
      <c r="H1135" s="5">
        <v>509.95</v>
      </c>
      <c r="I1135" s="2" t="s">
        <v>18</v>
      </c>
      <c r="J1135" s="3">
        <v>43013</v>
      </c>
      <c r="K1135" s="2">
        <v>3.1E-2</v>
      </c>
      <c r="L1135" s="2">
        <v>6.8000000000000005E-2</v>
      </c>
      <c r="M1135" s="2">
        <v>10</v>
      </c>
      <c r="N1135" s="2" t="s">
        <v>1238</v>
      </c>
    </row>
    <row r="1136" spans="1:14" x14ac:dyDescent="0.3">
      <c r="A1136" s="2" t="s">
        <v>14</v>
      </c>
      <c r="B1136" s="2" t="s">
        <v>15</v>
      </c>
      <c r="C1136" s="2" t="s">
        <v>16</v>
      </c>
      <c r="D1136" s="2" t="str">
        <f>("065332")</f>
        <v>065332</v>
      </c>
      <c r="E1136" s="2" t="str">
        <f>("622454653320")</f>
        <v>622454653320</v>
      </c>
      <c r="G1136" s="2" t="s">
        <v>1248</v>
      </c>
      <c r="H1136" s="5">
        <v>816.59</v>
      </c>
      <c r="I1136" s="2" t="s">
        <v>18</v>
      </c>
      <c r="J1136" s="3">
        <v>43013</v>
      </c>
      <c r="K1136" s="2">
        <v>5.0999999999999997E-2</v>
      </c>
      <c r="L1136" s="2">
        <v>0.112</v>
      </c>
      <c r="M1136" s="2">
        <v>5</v>
      </c>
      <c r="N1136" s="2" t="s">
        <v>1238</v>
      </c>
    </row>
    <row r="1137" spans="1:14" x14ac:dyDescent="0.3">
      <c r="A1137" s="2" t="s">
        <v>14</v>
      </c>
      <c r="B1137" s="2" t="s">
        <v>15</v>
      </c>
      <c r="C1137" s="2" t="s">
        <v>16</v>
      </c>
      <c r="D1137" s="2" t="str">
        <f>("065334")</f>
        <v>065334</v>
      </c>
      <c r="E1137" s="2" t="str">
        <f>("622454653344")</f>
        <v>622454653344</v>
      </c>
      <c r="G1137" s="2" t="s">
        <v>1249</v>
      </c>
      <c r="H1137" s="5">
        <v>1466.68</v>
      </c>
      <c r="I1137" s="2" t="s">
        <v>18</v>
      </c>
      <c r="J1137" s="3">
        <v>43013</v>
      </c>
      <c r="K1137" s="2">
        <v>9.6000000000000002E-2</v>
      </c>
      <c r="L1137" s="2">
        <v>0.21199999999999999</v>
      </c>
      <c r="M1137" s="2">
        <v>5</v>
      </c>
      <c r="N1137" s="2" t="s">
        <v>1238</v>
      </c>
    </row>
    <row r="1138" spans="1:14" x14ac:dyDescent="0.3">
      <c r="A1138" s="2" t="s">
        <v>14</v>
      </c>
      <c r="B1138" s="2" t="s">
        <v>15</v>
      </c>
      <c r="C1138" s="2" t="s">
        <v>16</v>
      </c>
      <c r="D1138" s="2" t="str">
        <f>("065337")</f>
        <v>065337</v>
      </c>
      <c r="E1138" s="2" t="str">
        <f>("622454653375")</f>
        <v>622454653375</v>
      </c>
      <c r="G1138" s="2" t="s">
        <v>1250</v>
      </c>
      <c r="H1138" s="5">
        <v>2041.73</v>
      </c>
      <c r="I1138" s="2" t="s">
        <v>18</v>
      </c>
      <c r="J1138" s="3">
        <v>43013</v>
      </c>
      <c r="K1138" s="2">
        <v>0.122</v>
      </c>
      <c r="L1138" s="2">
        <v>0.26900000000000002</v>
      </c>
      <c r="M1138" s="2">
        <v>10</v>
      </c>
      <c r="N1138" s="2" t="s">
        <v>1238</v>
      </c>
    </row>
    <row r="1139" spans="1:14" x14ac:dyDescent="0.3">
      <c r="A1139" s="2" t="s">
        <v>14</v>
      </c>
      <c r="B1139" s="2" t="s">
        <v>15</v>
      </c>
      <c r="C1139" s="2" t="s">
        <v>16</v>
      </c>
      <c r="D1139" s="2" t="str">
        <f>("065340")</f>
        <v>065340</v>
      </c>
      <c r="E1139" s="2" t="str">
        <f>("622454653405")</f>
        <v>622454653405</v>
      </c>
      <c r="G1139" s="2" t="s">
        <v>1251</v>
      </c>
      <c r="H1139" s="5">
        <v>3744.71</v>
      </c>
      <c r="I1139" s="2" t="s">
        <v>18</v>
      </c>
      <c r="J1139" s="3">
        <v>43013</v>
      </c>
      <c r="K1139" s="2">
        <v>0.191</v>
      </c>
      <c r="L1139" s="2">
        <v>0.42099999999999999</v>
      </c>
      <c r="M1139" s="2">
        <v>2</v>
      </c>
      <c r="N1139" s="2" t="s">
        <v>1238</v>
      </c>
    </row>
    <row r="1140" spans="1:14" x14ac:dyDescent="0.3">
      <c r="A1140" s="2" t="s">
        <v>14</v>
      </c>
      <c r="B1140" s="2" t="s">
        <v>15</v>
      </c>
      <c r="C1140" s="2" t="s">
        <v>16</v>
      </c>
      <c r="D1140" s="2" t="str">
        <f>("065350")</f>
        <v>065350</v>
      </c>
      <c r="E1140" s="2" t="str">
        <f>("622454653504")</f>
        <v>622454653504</v>
      </c>
      <c r="G1140" s="2" t="s">
        <v>1252</v>
      </c>
      <c r="H1140" s="5">
        <v>416.67</v>
      </c>
      <c r="I1140" s="2" t="s">
        <v>18</v>
      </c>
      <c r="J1140" s="3">
        <v>43013</v>
      </c>
      <c r="K1140" s="2">
        <v>1.9E-2</v>
      </c>
      <c r="L1140" s="2">
        <v>4.2000000000000003E-2</v>
      </c>
      <c r="M1140" s="2">
        <v>10</v>
      </c>
      <c r="N1140" s="2" t="s">
        <v>1253</v>
      </c>
    </row>
    <row r="1141" spans="1:14" x14ac:dyDescent="0.3">
      <c r="A1141" s="2" t="s">
        <v>14</v>
      </c>
      <c r="B1141" s="2" t="s">
        <v>15</v>
      </c>
      <c r="C1141" s="2" t="s">
        <v>16</v>
      </c>
      <c r="D1141" s="2" t="str">
        <f>("065352")</f>
        <v>065352</v>
      </c>
      <c r="E1141" s="2" t="str">
        <f>("622454653528")</f>
        <v>622454653528</v>
      </c>
      <c r="G1141" s="2" t="s">
        <v>1254</v>
      </c>
      <c r="H1141" s="5">
        <v>643.13</v>
      </c>
      <c r="I1141" s="2" t="s">
        <v>18</v>
      </c>
      <c r="J1141" s="3">
        <v>43013</v>
      </c>
      <c r="K1141" s="2">
        <v>2.8000000000000001E-2</v>
      </c>
      <c r="L1141" s="2">
        <v>6.2E-2</v>
      </c>
      <c r="M1141" s="2">
        <v>10</v>
      </c>
      <c r="N1141" s="2" t="s">
        <v>1253</v>
      </c>
    </row>
    <row r="1142" spans="1:14" x14ac:dyDescent="0.3">
      <c r="A1142" s="2" t="s">
        <v>14</v>
      </c>
      <c r="B1142" s="2" t="s">
        <v>15</v>
      </c>
      <c r="C1142" s="2" t="s">
        <v>16</v>
      </c>
      <c r="D1142" s="2" t="str">
        <f>("065360")</f>
        <v>065360</v>
      </c>
      <c r="E1142" s="2" t="str">
        <f>("622454653603")</f>
        <v>622454653603</v>
      </c>
      <c r="G1142" s="2" t="s">
        <v>1255</v>
      </c>
      <c r="H1142" s="5">
        <v>246.83</v>
      </c>
      <c r="I1142" s="2" t="s">
        <v>18</v>
      </c>
      <c r="J1142" s="3">
        <v>43013</v>
      </c>
      <c r="K1142" s="2">
        <v>1.2999999999999999E-2</v>
      </c>
      <c r="L1142" s="2">
        <v>2.9000000000000001E-2</v>
      </c>
      <c r="M1142" s="2">
        <v>25</v>
      </c>
      <c r="N1142" s="2" t="s">
        <v>1253</v>
      </c>
    </row>
    <row r="1143" spans="1:14" x14ac:dyDescent="0.3">
      <c r="A1143" s="2" t="s">
        <v>14</v>
      </c>
      <c r="B1143" s="2" t="s">
        <v>15</v>
      </c>
      <c r="C1143" s="2" t="s">
        <v>16</v>
      </c>
      <c r="D1143" s="2" t="str">
        <f>("065362")</f>
        <v>065362</v>
      </c>
      <c r="E1143" s="2" t="str">
        <f>("622454653627")</f>
        <v>622454653627</v>
      </c>
      <c r="G1143" s="2" t="s">
        <v>1256</v>
      </c>
      <c r="H1143" s="5">
        <v>371.38</v>
      </c>
      <c r="I1143" s="2" t="s">
        <v>18</v>
      </c>
      <c r="J1143" s="3">
        <v>43013</v>
      </c>
      <c r="K1143" s="2">
        <v>1.7999999999999999E-2</v>
      </c>
      <c r="L1143" s="2">
        <v>0.04</v>
      </c>
      <c r="M1143" s="2">
        <v>25</v>
      </c>
      <c r="N1143" s="2" t="s">
        <v>1253</v>
      </c>
    </row>
    <row r="1144" spans="1:14" x14ac:dyDescent="0.3">
      <c r="A1144" s="2" t="s">
        <v>14</v>
      </c>
      <c r="B1144" s="2" t="s">
        <v>15</v>
      </c>
      <c r="C1144" s="2" t="s">
        <v>16</v>
      </c>
      <c r="D1144" s="2" t="str">
        <f>("065015")</f>
        <v>065015</v>
      </c>
      <c r="E1144" s="2" t="str">
        <f>("622454408340")</f>
        <v>622454408340</v>
      </c>
      <c r="G1144" s="2" t="s">
        <v>1257</v>
      </c>
      <c r="H1144" s="5">
        <v>448.6</v>
      </c>
      <c r="I1144" s="2" t="s">
        <v>18</v>
      </c>
      <c r="J1144" s="3">
        <v>43013</v>
      </c>
      <c r="K1144" s="2">
        <v>4.4999999999999998E-2</v>
      </c>
      <c r="L1144" s="2">
        <v>9.9000000000000005E-2</v>
      </c>
      <c r="M1144" s="2">
        <v>10</v>
      </c>
      <c r="N1144" s="2" t="s">
        <v>1258</v>
      </c>
    </row>
    <row r="1145" spans="1:14" x14ac:dyDescent="0.3">
      <c r="A1145" s="2" t="s">
        <v>14</v>
      </c>
      <c r="B1145" s="2" t="s">
        <v>15</v>
      </c>
      <c r="C1145" s="2" t="s">
        <v>16</v>
      </c>
      <c r="D1145" s="2" t="str">
        <f>("065016")</f>
        <v>065016</v>
      </c>
      <c r="E1145" s="2" t="str">
        <f>("622454408357")</f>
        <v>622454408357</v>
      </c>
      <c r="G1145" s="2" t="s">
        <v>1259</v>
      </c>
      <c r="H1145" s="5">
        <v>684.25</v>
      </c>
      <c r="I1145" s="2" t="s">
        <v>18</v>
      </c>
      <c r="J1145" s="3">
        <v>43013</v>
      </c>
      <c r="K1145" s="2">
        <v>6.7000000000000004E-2</v>
      </c>
      <c r="L1145" s="2">
        <v>0.14799999999999999</v>
      </c>
      <c r="M1145" s="2">
        <v>10</v>
      </c>
      <c r="N1145" s="2" t="s">
        <v>1258</v>
      </c>
    </row>
    <row r="1146" spans="1:14" x14ac:dyDescent="0.3">
      <c r="A1146" s="2" t="s">
        <v>14</v>
      </c>
      <c r="B1146" s="2" t="s">
        <v>15</v>
      </c>
      <c r="C1146" s="2" t="s">
        <v>16</v>
      </c>
      <c r="D1146" s="2" t="str">
        <f>("165055")</f>
        <v>165055</v>
      </c>
      <c r="E1146" s="2" t="str">
        <f>("622454127098")</f>
        <v>622454127098</v>
      </c>
      <c r="G1146" s="2" t="s">
        <v>1260</v>
      </c>
      <c r="H1146" s="5">
        <v>135.93</v>
      </c>
      <c r="I1146" s="2" t="s">
        <v>18</v>
      </c>
      <c r="J1146" s="3">
        <v>43013</v>
      </c>
      <c r="K1146" s="2">
        <v>2.5000000000000001E-2</v>
      </c>
      <c r="L1146" s="2">
        <v>5.5E-2</v>
      </c>
      <c r="M1146" s="2">
        <v>100</v>
      </c>
      <c r="N1146" s="2" t="s">
        <v>1261</v>
      </c>
    </row>
    <row r="1147" spans="1:14" x14ac:dyDescent="0.3">
      <c r="A1147" s="2" t="s">
        <v>14</v>
      </c>
      <c r="B1147" s="2" t="s">
        <v>15</v>
      </c>
      <c r="C1147" s="2" t="s">
        <v>16</v>
      </c>
      <c r="D1147" s="2" t="str">
        <f>("165057")</f>
        <v>165057</v>
      </c>
      <c r="E1147" s="2" t="str">
        <f>("622454126978")</f>
        <v>622454126978</v>
      </c>
      <c r="G1147" s="2" t="s">
        <v>1262</v>
      </c>
      <c r="H1147" s="5">
        <v>147.27000000000001</v>
      </c>
      <c r="I1147" s="2" t="s">
        <v>18</v>
      </c>
      <c r="J1147" s="3">
        <v>43013</v>
      </c>
      <c r="K1147" s="2">
        <v>3.4000000000000002E-2</v>
      </c>
      <c r="L1147" s="2">
        <v>7.4999999999999997E-2</v>
      </c>
      <c r="M1147" s="2">
        <v>100</v>
      </c>
      <c r="N1147" s="2" t="s">
        <v>1261</v>
      </c>
    </row>
    <row r="1148" spans="1:14" x14ac:dyDescent="0.3">
      <c r="A1148" s="2" t="s">
        <v>14</v>
      </c>
      <c r="B1148" s="2" t="s">
        <v>15</v>
      </c>
      <c r="C1148" s="2" t="s">
        <v>16</v>
      </c>
      <c r="D1148" s="2" t="str">
        <f>("165059")</f>
        <v>165059</v>
      </c>
      <c r="E1148" s="2" t="str">
        <f>("622454126985")</f>
        <v>622454126985</v>
      </c>
      <c r="G1148" s="2" t="s">
        <v>1263</v>
      </c>
      <c r="H1148" s="5">
        <v>203.75</v>
      </c>
      <c r="I1148" s="2" t="s">
        <v>18</v>
      </c>
      <c r="J1148" s="3">
        <v>43013</v>
      </c>
      <c r="K1148" s="2">
        <v>5.1999999999999998E-2</v>
      </c>
      <c r="L1148" s="2">
        <v>0.115</v>
      </c>
      <c r="M1148" s="2">
        <v>100</v>
      </c>
      <c r="N1148" s="2" t="s">
        <v>1261</v>
      </c>
    </row>
    <row r="1149" spans="1:14" x14ac:dyDescent="0.3">
      <c r="A1149" s="2" t="s">
        <v>14</v>
      </c>
      <c r="B1149" s="2" t="s">
        <v>15</v>
      </c>
      <c r="C1149" s="2" t="s">
        <v>16</v>
      </c>
      <c r="D1149" s="2" t="str">
        <f>("165061")</f>
        <v>165061</v>
      </c>
      <c r="E1149" s="2" t="str">
        <f>("622454126992")</f>
        <v>622454126992</v>
      </c>
      <c r="G1149" s="2" t="s">
        <v>1264</v>
      </c>
      <c r="H1149" s="5">
        <v>410.12</v>
      </c>
      <c r="I1149" s="2" t="s">
        <v>18</v>
      </c>
      <c r="J1149" s="3">
        <v>43013</v>
      </c>
      <c r="K1149" s="2">
        <v>7.2999999999999995E-2</v>
      </c>
      <c r="L1149" s="2">
        <v>0.161</v>
      </c>
      <c r="M1149" s="2">
        <v>100</v>
      </c>
      <c r="N1149" s="2" t="s">
        <v>1261</v>
      </c>
    </row>
    <row r="1150" spans="1:14" x14ac:dyDescent="0.3">
      <c r="A1150" s="2" t="s">
        <v>14</v>
      </c>
      <c r="B1150" s="2" t="s">
        <v>15</v>
      </c>
      <c r="C1150" s="2" t="s">
        <v>16</v>
      </c>
      <c r="D1150" s="2" t="str">
        <f>("165064")</f>
        <v>165064</v>
      </c>
      <c r="E1150" s="2" t="str">
        <f>("622454127005")</f>
        <v>622454127005</v>
      </c>
      <c r="G1150" s="2" t="s">
        <v>1265</v>
      </c>
      <c r="H1150" s="5">
        <v>535.49</v>
      </c>
      <c r="I1150" s="2" t="s">
        <v>18</v>
      </c>
      <c r="J1150" s="3">
        <v>43013</v>
      </c>
      <c r="K1150" s="2">
        <v>9.5000000000000001E-2</v>
      </c>
      <c r="L1150" s="2">
        <v>0.20899999999999999</v>
      </c>
      <c r="M1150" s="2">
        <v>100</v>
      </c>
      <c r="N1150" s="2" t="s">
        <v>1261</v>
      </c>
    </row>
    <row r="1151" spans="1:14" x14ac:dyDescent="0.3">
      <c r="A1151" s="2" t="s">
        <v>14</v>
      </c>
      <c r="B1151" s="2" t="s">
        <v>15</v>
      </c>
      <c r="C1151" s="2" t="s">
        <v>16</v>
      </c>
      <c r="D1151" s="2" t="str">
        <f>("165067")</f>
        <v>165067</v>
      </c>
      <c r="E1151" s="2" t="str">
        <f>("622454127012")</f>
        <v>622454127012</v>
      </c>
      <c r="G1151" s="2" t="s">
        <v>1266</v>
      </c>
      <c r="H1151" s="5">
        <v>812.97</v>
      </c>
      <c r="I1151" s="2" t="s">
        <v>18</v>
      </c>
      <c r="J1151" s="3">
        <v>43013</v>
      </c>
      <c r="K1151" s="2">
        <v>0.113</v>
      </c>
      <c r="L1151" s="2">
        <v>0.249</v>
      </c>
      <c r="M1151" s="2">
        <v>100</v>
      </c>
      <c r="N1151" s="2" t="s">
        <v>1261</v>
      </c>
    </row>
    <row r="1152" spans="1:14" x14ac:dyDescent="0.3">
      <c r="A1152" s="2" t="s">
        <v>14</v>
      </c>
      <c r="B1152" s="2" t="s">
        <v>15</v>
      </c>
      <c r="C1152" s="2" t="s">
        <v>16</v>
      </c>
      <c r="D1152" s="2" t="str">
        <f>("165070")</f>
        <v>165070</v>
      </c>
      <c r="E1152" s="2" t="str">
        <f>("622454127029")</f>
        <v>622454127029</v>
      </c>
      <c r="G1152" s="2" t="s">
        <v>1267</v>
      </c>
      <c r="H1152" s="5">
        <v>964.69</v>
      </c>
      <c r="I1152" s="2" t="s">
        <v>18</v>
      </c>
      <c r="J1152" s="3">
        <v>43013</v>
      </c>
      <c r="K1152" s="2">
        <v>0.14499999999999999</v>
      </c>
      <c r="L1152" s="2">
        <v>0.32</v>
      </c>
      <c r="M1152" s="2">
        <v>100</v>
      </c>
      <c r="N1152" s="2" t="s">
        <v>1261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KRCFUS1005171 (002)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Rego, Floriana</dc:creator>
  <cp:lastModifiedBy>Rego, Floriana</cp:lastModifiedBy>
  <dcterms:created xsi:type="dcterms:W3CDTF">2017-11-03T14:15:49Z</dcterms:created>
  <dcterms:modified xsi:type="dcterms:W3CDTF">2017-11-03T14:15:49Z</dcterms:modified>
</cp:coreProperties>
</file>